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S-DSS\Meta-Analysis Submission\Data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13" i="1"/>
  <c r="U12" i="1"/>
  <c r="U3" i="1"/>
  <c r="U4" i="1"/>
  <c r="U38" i="1"/>
  <c r="U37" i="1"/>
  <c r="U18" i="1"/>
  <c r="U16" i="1"/>
  <c r="U15" i="1"/>
  <c r="U6" i="1"/>
  <c r="O23" i="1" l="1"/>
  <c r="O22" i="1"/>
  <c r="O45" i="1"/>
  <c r="O44" i="1"/>
  <c r="O43" i="1"/>
  <c r="O25" i="1"/>
  <c r="O24" i="1"/>
  <c r="O38" i="1"/>
  <c r="O37" i="1"/>
  <c r="O33" i="1"/>
  <c r="O29" i="1"/>
  <c r="O28" i="1"/>
  <c r="O27" i="1"/>
  <c r="O20" i="1"/>
  <c r="O19" i="1"/>
  <c r="O18" i="1"/>
  <c r="O16" i="1"/>
  <c r="O15" i="1"/>
  <c r="O13" i="1"/>
  <c r="O12" i="1"/>
  <c r="O9" i="1"/>
  <c r="O8" i="1"/>
  <c r="O5" i="1"/>
  <c r="N45" i="1" l="1"/>
  <c r="L45" i="1"/>
  <c r="K45" i="1"/>
  <c r="N44" i="1"/>
  <c r="L44" i="1"/>
  <c r="K44" i="1"/>
  <c r="N43" i="1"/>
  <c r="L43" i="1"/>
  <c r="K43" i="1"/>
  <c r="N42" i="1"/>
  <c r="L42" i="1"/>
  <c r="K42" i="1"/>
  <c r="L41" i="1"/>
  <c r="M41" i="1" s="1"/>
  <c r="L40" i="1"/>
  <c r="K40" i="1"/>
  <c r="N39" i="1"/>
  <c r="K39" i="1"/>
  <c r="M39" i="1" s="1"/>
  <c r="N38" i="1"/>
  <c r="T38" i="1" s="1"/>
  <c r="L38" i="1"/>
  <c r="M38" i="1" s="1"/>
  <c r="T37" i="1"/>
  <c r="N37" i="1"/>
  <c r="L37" i="1"/>
  <c r="M37" i="1" s="1"/>
  <c r="U36" i="1"/>
  <c r="S36" i="1"/>
  <c r="L36" i="1"/>
  <c r="K36" i="1"/>
  <c r="L35" i="1"/>
  <c r="K35" i="1"/>
  <c r="L34" i="1"/>
  <c r="K34" i="1"/>
  <c r="M34" i="1" s="1"/>
  <c r="S33" i="1"/>
  <c r="N33" i="1"/>
  <c r="K33" i="1"/>
  <c r="M33" i="1" s="1"/>
  <c r="R32" i="1"/>
  <c r="Q32" i="1"/>
  <c r="N32" i="1"/>
  <c r="K32" i="1"/>
  <c r="M32" i="1" s="1"/>
  <c r="N31" i="1"/>
  <c r="K31" i="1"/>
  <c r="M31" i="1" s="1"/>
  <c r="R30" i="1"/>
  <c r="Q30" i="1"/>
  <c r="N30" i="1"/>
  <c r="K30" i="1"/>
  <c r="M30" i="1" s="1"/>
  <c r="N29" i="1"/>
  <c r="L29" i="1"/>
  <c r="K29" i="1"/>
  <c r="M29" i="1" s="1"/>
  <c r="R28" i="1"/>
  <c r="Q28" i="1"/>
  <c r="K28" i="1"/>
  <c r="M28" i="1" s="1"/>
  <c r="U27" i="1"/>
  <c r="S27" i="1"/>
  <c r="N27" i="1"/>
  <c r="L27" i="1"/>
  <c r="K27" i="1"/>
  <c r="M27" i="1" s="1"/>
  <c r="R26" i="1"/>
  <c r="Q26" i="1"/>
  <c r="K26" i="1"/>
  <c r="M26" i="1" s="1"/>
  <c r="N25" i="1"/>
  <c r="K25" i="1"/>
  <c r="M25" i="1" s="1"/>
  <c r="N24" i="1"/>
  <c r="K24" i="1"/>
  <c r="M24" i="1" s="1"/>
  <c r="R23" i="1"/>
  <c r="Q23" i="1"/>
  <c r="K23" i="1"/>
  <c r="M23" i="1" s="1"/>
  <c r="R22" i="1"/>
  <c r="Q22" i="1"/>
  <c r="K22" i="1"/>
  <c r="M22" i="1" s="1"/>
  <c r="U21" i="1"/>
  <c r="S21" i="1"/>
  <c r="N21" i="1"/>
  <c r="K21" i="1"/>
  <c r="M21" i="1" s="1"/>
  <c r="R20" i="1"/>
  <c r="Q20" i="1"/>
  <c r="N20" i="1"/>
  <c r="K20" i="1"/>
  <c r="M20" i="1" s="1"/>
  <c r="U19" i="1"/>
  <c r="S19" i="1"/>
  <c r="N19" i="1"/>
  <c r="K19" i="1"/>
  <c r="M19" i="1" s="1"/>
  <c r="R18" i="1"/>
  <c r="Q18" i="1"/>
  <c r="N18" i="1"/>
  <c r="T18" i="1" s="1"/>
  <c r="K18" i="1"/>
  <c r="M18" i="1" s="1"/>
  <c r="N17" i="1"/>
  <c r="L17" i="1"/>
  <c r="K17" i="1"/>
  <c r="S16" i="1"/>
  <c r="N16" i="1"/>
  <c r="T16" i="1" s="1"/>
  <c r="K16" i="1"/>
  <c r="M16" i="1" s="1"/>
  <c r="S15" i="1"/>
  <c r="N15" i="1"/>
  <c r="T15" i="1" s="1"/>
  <c r="L15" i="1"/>
  <c r="K15" i="1"/>
  <c r="K14" i="1"/>
  <c r="M14" i="1" s="1"/>
  <c r="S13" i="1"/>
  <c r="K13" i="1"/>
  <c r="M13" i="1" s="1"/>
  <c r="S12" i="1"/>
  <c r="N12" i="1"/>
  <c r="T12" i="1" s="1"/>
  <c r="K12" i="1"/>
  <c r="M12" i="1" s="1"/>
  <c r="L11" i="1"/>
  <c r="K11" i="1"/>
  <c r="N10" i="1"/>
  <c r="L10" i="1"/>
  <c r="K10" i="1"/>
  <c r="N9" i="1"/>
  <c r="K9" i="1"/>
  <c r="M9" i="1" s="1"/>
  <c r="N8" i="1"/>
  <c r="L8" i="1"/>
  <c r="K8" i="1"/>
  <c r="N7" i="1"/>
  <c r="L7" i="1"/>
  <c r="K7" i="1"/>
  <c r="N6" i="1"/>
  <c r="T6" i="1" s="1"/>
  <c r="L6" i="1"/>
  <c r="K6" i="1"/>
  <c r="N5" i="1"/>
  <c r="K5" i="1"/>
  <c r="M5" i="1" s="1"/>
  <c r="N4" i="1"/>
  <c r="T4" i="1" s="1"/>
  <c r="K4" i="1"/>
  <c r="M4" i="1" s="1"/>
  <c r="N3" i="1"/>
  <c r="T3" i="1" s="1"/>
  <c r="K3" i="1"/>
  <c r="M3" i="1" s="1"/>
  <c r="N2" i="1"/>
  <c r="T2" i="1" s="1"/>
  <c r="K2" i="1"/>
  <c r="M2" i="1" s="1"/>
  <c r="M40" i="1" l="1"/>
  <c r="M43" i="1"/>
  <c r="M44" i="1"/>
  <c r="M10" i="1"/>
  <c r="S18" i="1"/>
  <c r="U22" i="1"/>
  <c r="S26" i="1"/>
  <c r="M8" i="1"/>
  <c r="U26" i="1"/>
  <c r="U28" i="1"/>
  <c r="M6" i="1"/>
  <c r="U20" i="1"/>
  <c r="S22" i="1"/>
  <c r="M35" i="1"/>
  <c r="M7" i="1"/>
  <c r="M36" i="1"/>
  <c r="M45" i="1"/>
  <c r="U23" i="1"/>
  <c r="M11" i="1"/>
  <c r="M17" i="1"/>
  <c r="M42" i="1"/>
  <c r="M15" i="1"/>
  <c r="S20" i="1"/>
  <c r="S23" i="1"/>
  <c r="S28" i="1"/>
</calcChain>
</file>

<file path=xl/comments1.xml><?xml version="1.0" encoding="utf-8"?>
<comments xmlns="http://schemas.openxmlformats.org/spreadsheetml/2006/main">
  <authors>
    <author>Weideman, Ann Marie (NIH/NINDS) [F]</author>
    <author>Ann Marie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
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Computed by article (risk reduction)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Computed by article (risk reduction)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
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7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S8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8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S9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9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S10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10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N11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Mean same for both placebo and drug group</t>
        </r>
      </text>
    </comment>
    <comment ref="S11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11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(34.6*125+34.3*126)/(125+126)</t>
        </r>
      </text>
    </comment>
    <comment ref="N15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(36.7*386+36.8*378)/(386+378)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Table was unclear about sample size. I chose  (based on percentages in table) the sample sizes for at least one dose.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Table was unclear about sample size. I chose  (based on percentages in table) the sample sizes for at least one dose.</t>
        </r>
      </text>
    </comment>
    <comment ref="S17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17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ITT population in "statistical anaylsis" section</t>
        </r>
      </text>
    </comment>
    <comment ref="N22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Given as median</t>
        </r>
      </text>
    </comment>
    <comment ref="N23" authorId="1" shapeId="0">
      <text>
        <r>
          <rPr>
            <b/>
            <sz val="9"/>
            <color indexed="81"/>
            <rFont val="Tahoma"/>
            <family val="2"/>
          </rPr>
          <t>Ann Marie:</t>
        </r>
        <r>
          <rPr>
            <sz val="9"/>
            <color indexed="81"/>
            <rFont val="Tahoma"/>
            <family val="2"/>
          </rPr>
          <t xml:space="preserve">
Given as median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"Only five patients actually completed year 5, but the year 5 rates were calculated using all available data even if the fifth year was not completed."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</t>
        </r>
      </text>
    </comment>
    <comment ref="U29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Mean of median ages in placebo and control groups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1-HR given in Table 2
</t>
        </r>
      </text>
    </comment>
    <comment ref="U3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1-HR given in Table 2
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1-HR given in Table 2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1-HR given in Table 2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Computed by article (risk reduction)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Figure 2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Unpublished results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Convert weeks to years
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Convert weeks to years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Not n=488 as listed in table. Footnotes state that one patient in ocrelizumab group was excluded from analysis due to missing data on the EDSS score at baseline. 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median of median trial durations (2.8 years placebo and 2.9 years drug)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Article gives CDP = 0.75, so %IDP=1-0.75=0.25 or 25%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Convert weeks to years
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in Table 3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Preliminary results state that risk of reaching 3- month CDP used all patients, so assuming 1651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Median follow-up time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Preliminary results state that risk of reaching 3- month CDP used all patients, so assuming 1651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given in article, table 2
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given in article, table 2
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 of article
</t>
        </r>
      </text>
    </comment>
    <comment ref="U44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  <comment ref="U45" authorId="0" shapeId="0">
      <text>
        <r>
          <rPr>
            <b/>
            <sz val="9"/>
            <color indexed="81"/>
            <rFont val="Tahoma"/>
            <family val="2"/>
          </rPr>
          <t>Weideman, Ann Marie (NIH/NINDS) [F]:</t>
        </r>
        <r>
          <rPr>
            <sz val="9"/>
            <color indexed="81"/>
            <rFont val="Tahoma"/>
            <family val="2"/>
          </rPr>
          <t xml:space="preserve">
Hazard ratio given in Table 2 of article</t>
        </r>
      </text>
    </comment>
  </commentList>
</comments>
</file>

<file path=xl/sharedStrings.xml><?xml version="1.0" encoding="utf-8"?>
<sst xmlns="http://schemas.openxmlformats.org/spreadsheetml/2006/main" count="314" uniqueCount="178">
  <si>
    <t>Index</t>
  </si>
  <si>
    <t>Trial</t>
  </si>
  <si>
    <t>Year</t>
  </si>
  <si>
    <t>Experimental arm</t>
  </si>
  <si>
    <t>Control arm</t>
  </si>
  <si>
    <t>Drug efficacy: 1 = low, 2 = high</t>
  </si>
  <si>
    <t>Type of MS: 1 = RRMS, 2 = SPMS, 3 = PPMS, 4 = RRMS and SPMS</t>
  </si>
  <si>
    <t>Total trial sample size (intention to treat population)</t>
  </si>
  <si>
    <t>n (Experimental group)</t>
  </si>
  <si>
    <t>n (Control Group)</t>
  </si>
  <si>
    <t>n (regression analysis)</t>
  </si>
  <si>
    <t>Duration of trial (years)</t>
  </si>
  <si>
    <t>Weight</t>
  </si>
  <si>
    <t>Age at baseline (years)</t>
  </si>
  <si>
    <t xml:space="preserve"> Minimum sustained progression (months)</t>
  </si>
  <si>
    <t>%CDP in comparator group</t>
  </si>
  <si>
    <t>%CDP in drug group</t>
  </si>
  <si>
    <t>%IDP (trial specific)</t>
  </si>
  <si>
    <t>Estimated %IDP of interferon-beta vs placebo at baseline age</t>
  </si>
  <si>
    <t>%IDP (recalculated)</t>
  </si>
  <si>
    <t>p</t>
  </si>
  <si>
    <r>
      <t xml:space="preserve">p:  0 &gt; 0.05,  1 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0.05</t>
    </r>
  </si>
  <si>
    <t>A1</t>
  </si>
  <si>
    <t>CAMMS223</t>
  </si>
  <si>
    <t>Alemtuzumab (12 mg IV daily)</t>
  </si>
  <si>
    <t>Interferon beta-1a (Rebif), 44 µg SC 3 times/week</t>
  </si>
  <si>
    <t>A2</t>
  </si>
  <si>
    <t>CARE-MS I</t>
  </si>
  <si>
    <t>A3</t>
  </si>
  <si>
    <t>CARE-MS II</t>
  </si>
  <si>
    <t>D1</t>
  </si>
  <si>
    <t>SELECT</t>
  </si>
  <si>
    <t>Daclizumab HYP (150 mg SC every 4 weeks)</t>
  </si>
  <si>
    <t>Placebo</t>
  </si>
  <si>
    <t>NA</t>
  </si>
  <si>
    <t>D2</t>
  </si>
  <si>
    <t>DECIDE</t>
  </si>
  <si>
    <t>Interferon beta-1a (Avonex), 30 µg IM once weekly</t>
  </si>
  <si>
    <t>DF1</t>
  </si>
  <si>
    <t>CONFIRM</t>
  </si>
  <si>
    <t>Dimethyl fumarate (240 mg twice daily)</t>
  </si>
  <si>
    <t>DF2</t>
  </si>
  <si>
    <t>DEFINE</t>
  </si>
  <si>
    <t>F1</t>
  </si>
  <si>
    <t>FREEDOMS</t>
  </si>
  <si>
    <t>Fingolimod (0.5 mg daily)</t>
  </si>
  <si>
    <t>F2</t>
  </si>
  <si>
    <t>FREEDOMS II</t>
  </si>
  <si>
    <t>F3</t>
  </si>
  <si>
    <t>INFORMS</t>
  </si>
  <si>
    <t>F4</t>
  </si>
  <si>
    <t>TRANSFORMS</t>
  </si>
  <si>
    <t>G1</t>
  </si>
  <si>
    <t>The Copolymer 1 Multiple Sclerosis Study Group</t>
  </si>
  <si>
    <t>Glatiramer acetate (20 mg SC, once daily)</t>
  </si>
  <si>
    <t>NS</t>
  </si>
  <si>
    <t>G2</t>
  </si>
  <si>
    <t>Not indicated</t>
  </si>
  <si>
    <t>G3</t>
  </si>
  <si>
    <t>REGARD</t>
  </si>
  <si>
    <t>Interferon beta-1a (Rebif), 44 µg SC three times per week</t>
  </si>
  <si>
    <t>G4</t>
  </si>
  <si>
    <t>BEYOND</t>
  </si>
  <si>
    <t>Interferon beta-1b (Betaseron), 250 µg SC every other day</t>
  </si>
  <si>
    <t>G5</t>
  </si>
  <si>
    <t>G6</t>
  </si>
  <si>
    <t>CombiRx</t>
  </si>
  <si>
    <t>Not Stated</t>
  </si>
  <si>
    <t>I1</t>
  </si>
  <si>
    <t>MSCRG</t>
  </si>
  <si>
    <t>I2</t>
  </si>
  <si>
    <r>
      <t xml:space="preserve">Montalban </t>
    </r>
    <r>
      <rPr>
        <i/>
        <sz val="11"/>
        <color theme="1"/>
        <rFont val="Calibri"/>
        <family val="2"/>
        <scheme val="minor"/>
      </rPr>
      <t>et al.</t>
    </r>
  </si>
  <si>
    <t>2, 4 (PPMS and transitional MS) - treat as solely progressive</t>
  </si>
  <si>
    <t>I3</t>
  </si>
  <si>
    <r>
      <t xml:space="preserve">Leary SM </t>
    </r>
    <r>
      <rPr>
        <i/>
        <sz val="11"/>
        <color theme="1"/>
        <rFont val="Calibri"/>
        <family val="2"/>
        <scheme val="minor"/>
      </rPr>
      <t>et al.</t>
    </r>
  </si>
  <si>
    <t>I4</t>
  </si>
  <si>
    <t>PRISMS</t>
  </si>
  <si>
    <t>Interferon beta-1a (Rebif), 22 µg SC three times per week</t>
  </si>
  <si>
    <t>&lt;0.05</t>
  </si>
  <si>
    <t>I5</t>
  </si>
  <si>
    <t>I6</t>
  </si>
  <si>
    <t>SPECTRIMS</t>
  </si>
  <si>
    <t>Interferon beta-1a (Rebif), 22 µg SC 3 times/week</t>
  </si>
  <si>
    <t>I7</t>
  </si>
  <si>
    <t>I8</t>
  </si>
  <si>
    <t>INFB Multiple Sclerosis Study Group</t>
  </si>
  <si>
    <t>I9</t>
  </si>
  <si>
    <t>EUSPMS</t>
  </si>
  <si>
    <t>I10</t>
  </si>
  <si>
    <t>NASPMS</t>
  </si>
  <si>
    <t>I11</t>
  </si>
  <si>
    <t>ADVANCE</t>
  </si>
  <si>
    <t>Pegylated interferon beta-1a (Plegridy), 125 µg SC once every 2 weeks</t>
  </si>
  <si>
    <t>I12</t>
  </si>
  <si>
    <t>BRAVO</t>
  </si>
  <si>
    <t>L1</t>
  </si>
  <si>
    <t>ALLEGRO</t>
  </si>
  <si>
    <t>Laquinimod (0.6 mg once daily)</t>
  </si>
  <si>
    <t>L2</t>
  </si>
  <si>
    <t>M1</t>
  </si>
  <si>
    <t>MIMS</t>
  </si>
  <si>
    <r>
      <t>Mitoxantrone (12 mg/m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every 3 months)</t>
    </r>
  </si>
  <si>
    <t>4 (45% worsening RRMS/55% SPMS in placebo versus 47% worsening RRMS/53% SPMS in drug) -treat as both</t>
  </si>
  <si>
    <t>N1</t>
  </si>
  <si>
    <t>AFFIRM</t>
  </si>
  <si>
    <t>Natalizumab (300 mg IV every 4 weeks)</t>
  </si>
  <si>
    <t>&lt;0.001</t>
  </si>
  <si>
    <t>N2</t>
  </si>
  <si>
    <t xml:space="preserve">SENTINEL </t>
  </si>
  <si>
    <t>Natalizumab (300 mg IV every 4 weeks) + IFN-beta-1a (Avonex)</t>
  </si>
  <si>
    <t>IFN-beta-1a (Avonex) + Placebo</t>
  </si>
  <si>
    <t>N3</t>
  </si>
  <si>
    <t>ASCEND</t>
  </si>
  <si>
    <t>2016*</t>
  </si>
  <si>
    <t>O1</t>
  </si>
  <si>
    <t>OPERA I</t>
  </si>
  <si>
    <t>Ocrelizumab (600 mg IV every 24 weeks)</t>
  </si>
  <si>
    <t>O2</t>
  </si>
  <si>
    <t>OPERA II</t>
  </si>
  <si>
    <t>O3</t>
  </si>
  <si>
    <t>ORATORIO</t>
  </si>
  <si>
    <t>R1</t>
  </si>
  <si>
    <t>OLYMPUS</t>
  </si>
  <si>
    <t>Rituximab (1000 mg x 2 doses, every 24 weeks)</t>
  </si>
  <si>
    <t>S1</t>
  </si>
  <si>
    <t>EXPAND</t>
  </si>
  <si>
    <t>Siponimod (2 mg daily)</t>
  </si>
  <si>
    <t>T1</t>
  </si>
  <si>
    <t>TEMSO</t>
  </si>
  <si>
    <t>Teriflunomide (7mg daily)</t>
  </si>
  <si>
    <t>4 (small percentage of patients with SPMS, so treat as RRMS)</t>
  </si>
  <si>
    <t>T2</t>
  </si>
  <si>
    <t>Teriflunomide (14 mg daily)</t>
  </si>
  <si>
    <t>T3</t>
  </si>
  <si>
    <t>TOWER</t>
  </si>
  <si>
    <t>Teriflunomide (7 mg daily)</t>
  </si>
  <si>
    <t>T4</t>
  </si>
  <si>
    <t>References</t>
  </si>
  <si>
    <t>Camms Trial Investigators, Coles AJ, Compston DA, et al. Alemtuzumab vs. interferon beta-1a in early multiple sclerosis. N Engl J Med 2008;359:1786-1801.</t>
  </si>
  <si>
    <t>Cohen JA, Coles AJ, Arnold DL, et al. Alemtuzumab versus interferon beta 1a as first-line treatment for patients with relapsing-remitting multiple sclerosis: a randomised controlled phase 3 trial. Lancet 2012;380:1819-1828.</t>
  </si>
  <si>
    <t>Coles AJ, Twyman CL, Arnold DL, et al. Alemtuzumab for patients with relapsing multiple sclerosis after disease-modifying therapy: a randomised controlled phase 3 trial. Lancet 2012;380:1829-1839.</t>
  </si>
  <si>
    <t>Gold R, Giovannoni G, Selmaj K, et al. Daclizumab high-yield process in relapsing-remitting multiple sclerosis (SELECT): a randomised, double-blind, placebo-controlled trial. Lancet 2013;381:2167-2175.</t>
  </si>
  <si>
    <t>Kappos L, Wiendl H, Selmaj K, et al. Daclizumab HYP versus Interferon Beta-1a in Relapsing Multiple Sclerosis. N Engl J Med 2015;373:1418-1428.</t>
  </si>
  <si>
    <t>Fox RJ, Miller DH, Phillips JT, et al. Placebo-controlled phase 3 study of oral BG-12 or glatiramer in multiple sclerosis. N Engl J Med 2012;367:1087-1097.</t>
  </si>
  <si>
    <t>Gold R, Kappos L, Arnold DL, et al. Placebo-controlled phase 3 study of oral BG-12 for relapsing multiple sclerosis. N Engl J Med 2012;367:1098-1107.</t>
  </si>
  <si>
    <t>Kappos L, Radue EW, O'Connor P, et al. A placebo-controlled trial of oral fingolimod in relapsing multiple sclerosis. N Engl J Med 2010;362:387-401.</t>
  </si>
  <si>
    <t>Calabresi PA, Radue EW, Goodin D, et al. Safety and efficacy of fingolimod in patients with relapsing-remitting multiple sclerosis (FREEDOMS II): a double-blind, randomised, placebo-controlled, phase 3 trial. Lancet Neurol 2014;13:545-556.</t>
  </si>
  <si>
    <t>Lublin F, Miller DH, Freedman MS, et al. Oral fingolimod in primary progressive multiple sclerosis (INFORMS): a phase 3, randomised, double-blind, placebo-controlled trial. Lancet 2016;387:1075-1084.</t>
  </si>
  <si>
    <t>Cohen JA, Barkhof F, Comi G, et al. Oral fingolimod or intramuscular interferon for relapsing multiple sclerosis. N Engl J Med 2010;362:402-415.</t>
  </si>
  <si>
    <t>Johnson KP, Brooks BR, Cohen JA, et al. Copolymer 1 reduces relapse rate and improves disability in relapsing-remitting multiple sclerosis: results of a phase III multicenter, double-blind placebo-controlled trial. The Copolymer 1 Multiple Sclerosis Study Group. Neurology 1995;45:1268-1276.</t>
  </si>
  <si>
    <t>Wolinsky JS, Narayana PA, O'Connor P, et al. Glatiramer acetate in primary progressive multiple sclerosis: results of a multinational, multicenter, double-blind, placebo-controlled trial. Ann Neurol 2007;61:14-24.</t>
  </si>
  <si>
    <t>Mikol DD, Barkhof F, Chang P, et al. Comparison of subcutaneous interferon beta-1a with glatiramer acetate in patients with relapsing multiple sclerosis (the REbif vs Glatiramer Acetate in Relapsing MS Disease [REGARD] study): a multicentre, randomised, parallel, open-label trial. Lancet Neurol 2008;7:903-914.</t>
  </si>
  <si>
    <t>O'Connor P, Filippi M, Arnason B, et al. 250 microg or 500 microg interferon beta-1b versus 20 mg glatiramer acetate in relapsing-remitting multiple sclerosis: a prospective, randomised, multicentre study. Lancet Neurol 2009;8:889-897.</t>
  </si>
  <si>
    <t>Lublin FD, Cofield SS, Cutter GR, et al. Randomized Study Combining Interferon &amp; Glatiramer Acetate in Multiple Sclerosis. Annals of neurology 2013;73:327-340.</t>
  </si>
  <si>
    <t>Jacobs LD, Cookfair DL, Rudick RA, et al. Intramuscular interferon beta-1a for disease progression in relapsing multiple sclerosis. The Multiple Sclerosis Collaborative Research Group (MSCRG). Ann Neurol 1996;39:285-294.</t>
  </si>
  <si>
    <t>Montalban X, Sastre-Garriga J, Tintore M, et al. A single-center, randomized, double-blind, placebo-controlled study of interferon beta-1b on primary progressive and transitional multiple sclerosis. Multiple sclerosis (Houndmills, Basingstoke, England) 2009;15:1195-1205.</t>
  </si>
  <si>
    <t>Leary SM, Miller DH, Stevenson VL, Brex PA, Chard DT, Thompson AJ. Interferon beta-1a in primary progressive MS: an exploratory, randomized, controlled trial. Neurology 2003;60:44-51.</t>
  </si>
  <si>
    <t>PRISMS (Prevention of Relapses and Disability by Interferon beta-1a Subcutaneously in Multiple Sclerosis) Study Group. Randomised double-blind placebo-controlled study of interferon beta-1a in relapsing/remitting multiple sclerosis. Lancet 1998;352:1498-1504.</t>
  </si>
  <si>
    <t>Secondary Progressive Efficacy Clinical Trial of Recombinant Interferon-Beta-1a in MS (SPECTRIMS) Study Group. Randomized controlled trial of interferon- beta-1a in secondary progressive MS: Clinical results. Neurology 2001;56:1496-1504.</t>
  </si>
  <si>
    <t>The IFNB Multiple Sclerosis Study Group and The University of British Columbia MS/MRI Analysis Group. Interferon beta-1b in the treatment of multiple sclerosis: final outcome of the randomized controlled trial. Neurology 1995;45:1277-1285.</t>
  </si>
  <si>
    <t>European Study Group on interferon beta-1b in secondary progressive MS. Placebo-controlled multicentre randomised trial of interferon beta-1b in treatment of secondary progressive multiple sclerosis. Lancet 1998;352:1491-1497.</t>
  </si>
  <si>
    <t>Panitch H, Miller A, Paty D, Weinshenker B, North American Study Group on Interferon beta-1b in Secondary Progressive MS. Interferon beta-1b in secondary progressive MS: results from a 3-year controlled study. Neurology 2004;63:1788-1795.</t>
  </si>
  <si>
    <t>Calabresi PA, Kieseier BC, Arnold DL, et al. Pegylated interferon beta-1a for relapsing-remitting multiple sclerosis (ADVANCE): a randomised, phase 3, double-blind study. Lancet Neurol 2014;13:657-665.</t>
  </si>
  <si>
    <t>Vollmer TL, Sorensen PS, Selmaj K, et al. A randomized placebo-controlled phase III trial of oral laquinimod for multiple sclerosis. Journal of Neurology 2014;261:773-783.</t>
  </si>
  <si>
    <t>Comi  G, Jeffery  D, Kappos  L, et al. Placebo-Controlled Trial of Oral Laquinimod for Multiple Sclerosis. New England Journal of Medicine 2012;366:1000-1009.</t>
  </si>
  <si>
    <t>Hartung HP, Gonsette R, Konig N, et al. Mitoxantrone in progressive multiple sclerosis: a placebo-controlled, double-blind, randomised, multicentre trial. Lancet 2002;360:2018-2025.</t>
  </si>
  <si>
    <t>Polman CH, O'Connor PW, Havrdova E, et al. A randomized, placebo-controlled trial of natalizumab for relapsing multiple sclerosis. N Engl J Med 2006;354:899-910.</t>
  </si>
  <si>
    <t>Rudick  RA, Stuart  WH, Calabresi  PA, et al. Natalizumab plus Interferon Beta-1a for Relapsing Multiple Sclerosis. New England Journal of Medicine 2006;354:911-923.</t>
  </si>
  <si>
    <t>Steiner D, Arnold DL, Freedman MS, et al. Natalizumab Versus Placebo in Patients with Secondary Progressive Multiple Sclerosis (SPMS): Results from ASCEND, a Multicenter, Double-blind, Placebo-Controlled, Randomized Phase 3 Clinical Trial.  68th Annual Meeting of the American Academy of Neurology; 2016; Vancouver, Canada.</t>
  </si>
  <si>
    <t>Hauser SL, Bar-Or A, Comi G, et al. Ocrelizumab versus Interferon Beta-1a in Relapsing Multiple Sclerosis. N Engl J Med 2016.</t>
  </si>
  <si>
    <t>Montalban X, Hauser SL, Kappos L, et al. Ocrelizumab versus Placebo in Primary Progressive Multiple Sclerosis. N Engl J Med 2016.</t>
  </si>
  <si>
    <t>Hawker K, O'Connor P, Freedman MS, et al. Rituximab in patients with primary progressive multiple sclerosis: results of a randomized double-blind placebo-controlled multicenter trial. Ann Neurol 2009;66:460-471.</t>
  </si>
  <si>
    <t>Kappos  L, Bar-Or  A, Cree  B, et al. Efficacy and safety of siponimod in secondary progressive multiple sclerosis - Results of the placebo controlled, double-blind, Phase III EXPAND study.  ECTRIMS; 2016; London, UK: ECTRIMS Online Library.</t>
  </si>
  <si>
    <t>O'Connor P, Wolinsky JS, Confavreux C, et al. Randomized trial of oral teriflunomide for relapsing multiple sclerosis. N Engl J Med 2011;365:1293-1303.</t>
  </si>
  <si>
    <t>Confavreux C, O'Connor P, Comi G, et al. Oral teriflunomide for patients with relapsing multiple sclerosis (TOWER): a randomised, double-blind, placebo-controlled, phase 3 trial. Lancet Neurol 2014;13:247-256.</t>
  </si>
  <si>
    <t>EDSS at baseline</t>
  </si>
  <si>
    <t>r</t>
  </si>
  <si>
    <t>PROMiSe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</si>
</sst>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ill="1"/>
    <xf numFmtId="2" fontId="0" fillId="0" borderId="3" xfId="0" applyNumberForma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/>
    <xf numFmtId="165" fontId="0" fillId="0" borderId="0" xfId="0" applyNumberFormat="1" applyFill="1"/>
  </cellXfs>
  <cellStyles count="1">
    <cellStyle name="Normal" xfId="0" builtinId="0"/>
  </cellStyles>
  <dxfs count="27"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bottom style="thin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X45" totalsRowShown="0" headerRowDxfId="1" dataDxfId="0" headerRowBorderDxfId="26">
  <autoFilter ref="A1:X45"/>
  <sortState ref="A2:W41">
    <sortCondition ref="A1:A41"/>
  </sortState>
  <tableColumns count="24">
    <tableColumn id="1" name="Index" dataDxfId="25"/>
    <tableColumn id="2" name="Trial" dataDxfId="24"/>
    <tableColumn id="3" name="Year" dataDxfId="23"/>
    <tableColumn id="4" name="Experimental arm" dataDxfId="22"/>
    <tableColumn id="5" name="Control arm" dataDxfId="21"/>
    <tableColumn id="6" name="Drug efficacy: 1 = low, 2 = high" dataDxfId="20"/>
    <tableColumn id="7" name="Type of MS: 1 = RRMS, 2 = SPMS, 3 = PPMS, 4 = RRMS and SPMS" dataDxfId="19"/>
    <tableColumn id="8" name="Total trial sample size (intention to treat population)" dataDxfId="18"/>
    <tableColumn id="9" name="n (Experimental group)" dataDxfId="17"/>
    <tableColumn id="10" name="n (Control Group)" dataDxfId="16"/>
    <tableColumn id="11" name="n (regression analysis)" dataDxfId="15"/>
    <tableColumn id="12" name="Duration of trial (years)" dataDxfId="14"/>
    <tableColumn id="13" name="Weight" dataDxfId="13">
      <calculatedColumnFormula xml:space="preserve"> K2*SQRT(L2)</calculatedColumnFormula>
    </tableColumn>
    <tableColumn id="14" name="Age at baseline (years)" dataDxfId="12"/>
    <tableColumn id="24" name="EDSS at baseline" dataDxfId="11">
      <calculatedColumnFormula>(1.9*111+1.9*112)/(111+112)</calculatedColumnFormula>
    </tableColumn>
    <tableColumn id="15" name=" Minimum sustained progression (months)" dataDxfId="10"/>
    <tableColumn id="22" name="%CDP in comparator group" dataDxfId="9"/>
    <tableColumn id="23" name="%CDP in drug group" dataDxfId="8"/>
    <tableColumn id="16" name="%IDP (trial specific)" dataDxfId="7"/>
    <tableColumn id="17" name="Estimated %IDP of interferon-beta vs placebo at baseline age" dataDxfId="6"/>
    <tableColumn id="18" name="%IDP (recalculated)" dataDxfId="5"/>
    <tableColumn id="19" name="p" dataDxfId="4"/>
    <tableColumn id="20" name="p:  0 &gt; 0.05,  1  ≤ 0.05" dataDxfId="3"/>
    <tableColumn id="21" name="Referenc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5"/>
  <sheetViews>
    <sheetView tabSelected="1" topLeftCell="A41" workbookViewId="0">
      <selection activeCell="A46" sqref="A46"/>
    </sheetView>
  </sheetViews>
  <sheetFormatPr defaultRowHeight="15" x14ac:dyDescent="0.25"/>
  <cols>
    <col min="1" max="1" width="8.42578125" style="29" customWidth="1"/>
    <col min="2" max="2" width="18.7109375" style="29" customWidth="1"/>
    <col min="3" max="3" width="9.140625" style="29"/>
    <col min="4" max="4" width="28.140625" style="29" customWidth="1"/>
    <col min="5" max="5" width="27.7109375" style="29" customWidth="1"/>
    <col min="6" max="6" width="15.42578125" style="29" customWidth="1"/>
    <col min="7" max="7" width="20.42578125" style="29" customWidth="1"/>
    <col min="8" max="8" width="16.7109375" style="29" customWidth="1"/>
    <col min="9" max="9" width="18.28515625" style="29" customWidth="1"/>
    <col min="10" max="10" width="14.7109375" style="29" customWidth="1"/>
    <col min="11" max="11" width="15.7109375" style="29" customWidth="1"/>
    <col min="12" max="14" width="9.140625" style="29"/>
    <col min="15" max="15" width="11.5703125" style="33" bestFit="1" customWidth="1"/>
    <col min="16" max="16" width="15.5703125" style="29" customWidth="1"/>
    <col min="17" max="17" width="17.5703125" style="29" customWidth="1"/>
    <col min="18" max="18" width="14.5703125" style="29" customWidth="1"/>
    <col min="19" max="19" width="15.42578125" style="29" customWidth="1"/>
    <col min="20" max="20" width="23" style="29" customWidth="1"/>
    <col min="21" max="21" width="17.42578125" style="34" customWidth="1"/>
    <col min="22" max="22" width="9.140625" style="29"/>
    <col min="23" max="23" width="19.42578125" style="29" customWidth="1"/>
    <col min="24" max="24" width="29.5703125" style="29" customWidth="1"/>
    <col min="25" max="16384" width="9.140625" style="29"/>
  </cols>
  <sheetData>
    <row r="1" spans="1:24" ht="6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175</v>
      </c>
      <c r="P1" s="2" t="s">
        <v>14</v>
      </c>
      <c r="Q1" s="1" t="s">
        <v>15</v>
      </c>
      <c r="R1" s="1" t="s">
        <v>16</v>
      </c>
      <c r="S1" s="9" t="s">
        <v>17</v>
      </c>
      <c r="T1" s="9" t="s">
        <v>18</v>
      </c>
      <c r="U1" s="31" t="s">
        <v>19</v>
      </c>
      <c r="V1" s="3" t="s">
        <v>20</v>
      </c>
      <c r="W1" s="2" t="s">
        <v>21</v>
      </c>
      <c r="X1" s="25" t="s">
        <v>137</v>
      </c>
    </row>
    <row r="2" spans="1:24" ht="90" x14ac:dyDescent="0.25">
      <c r="A2" s="1" t="s">
        <v>22</v>
      </c>
      <c r="B2" s="4" t="s">
        <v>23</v>
      </c>
      <c r="C2" s="5">
        <v>2008</v>
      </c>
      <c r="D2" s="4" t="s">
        <v>24</v>
      </c>
      <c r="E2" s="1" t="s">
        <v>25</v>
      </c>
      <c r="F2" s="5">
        <v>2</v>
      </c>
      <c r="G2" s="6">
        <v>1</v>
      </c>
      <c r="H2" s="2">
        <v>334</v>
      </c>
      <c r="I2" s="2">
        <v>112</v>
      </c>
      <c r="J2" s="2">
        <v>111</v>
      </c>
      <c r="K2" s="2">
        <f>I2+J2</f>
        <v>223</v>
      </c>
      <c r="L2" s="4">
        <v>3</v>
      </c>
      <c r="M2" s="1">
        <f t="shared" ref="M2:M45" si="0" xml:space="preserve"> K2*SQRT(L2)</f>
        <v>386.24733008785961</v>
      </c>
      <c r="N2" s="4">
        <f>(32.8*111+31.9*112)/(111+112)</f>
        <v>32.347982062780268</v>
      </c>
      <c r="O2" s="4">
        <v>1.9</v>
      </c>
      <c r="P2" s="5">
        <v>3</v>
      </c>
      <c r="Q2" s="4">
        <v>32.700000000000003</v>
      </c>
      <c r="R2" s="4">
        <v>16.3</v>
      </c>
      <c r="S2" s="1">
        <v>58</v>
      </c>
      <c r="T2" s="1">
        <f>(-2.030704 *N2)+103.035004</f>
        <v>37.345827433183857</v>
      </c>
      <c r="U2" s="1">
        <f>100*(1-(1-S2/100)*(1-T2/100))</f>
        <v>73.685247521937214</v>
      </c>
      <c r="V2" s="3">
        <v>5.0000000000000001E-3</v>
      </c>
      <c r="W2" s="2">
        <v>1</v>
      </c>
      <c r="X2" s="28" t="s">
        <v>138</v>
      </c>
    </row>
    <row r="3" spans="1:24" ht="120" x14ac:dyDescent="0.25">
      <c r="A3" s="1" t="s">
        <v>26</v>
      </c>
      <c r="B3" s="4" t="s">
        <v>27</v>
      </c>
      <c r="C3" s="5">
        <v>2012</v>
      </c>
      <c r="D3" s="4" t="s">
        <v>24</v>
      </c>
      <c r="E3" s="1" t="s">
        <v>25</v>
      </c>
      <c r="F3" s="5">
        <v>2</v>
      </c>
      <c r="G3" s="6">
        <v>1</v>
      </c>
      <c r="H3" s="7">
        <v>581</v>
      </c>
      <c r="I3" s="7">
        <v>376</v>
      </c>
      <c r="J3" s="7">
        <v>187</v>
      </c>
      <c r="K3" s="7">
        <f>I3+J3</f>
        <v>563</v>
      </c>
      <c r="L3" s="4">
        <v>2</v>
      </c>
      <c r="M3" s="1">
        <f t="shared" si="0"/>
        <v>796.20223561605258</v>
      </c>
      <c r="N3" s="4">
        <f>(187*33.2+376*33)/(187+376)</f>
        <v>33.066429840142099</v>
      </c>
      <c r="O3" s="4">
        <v>2</v>
      </c>
      <c r="P3" s="5">
        <v>6</v>
      </c>
      <c r="Q3" s="4">
        <v>11.12</v>
      </c>
      <c r="R3" s="4">
        <v>8</v>
      </c>
      <c r="S3" s="4">
        <v>30</v>
      </c>
      <c r="T3" s="1">
        <f>(-2.030704 *N3)+103.035004</f>
        <v>35.886872657904078</v>
      </c>
      <c r="U3" s="1">
        <f t="shared" ref="U3" si="1">100*(1-(1-S3/100)*(1-T3/100))</f>
        <v>55.120810860532863</v>
      </c>
      <c r="V3" s="8">
        <v>0.22</v>
      </c>
      <c r="W3" s="5">
        <v>0</v>
      </c>
      <c r="X3" s="28" t="s">
        <v>139</v>
      </c>
    </row>
    <row r="4" spans="1:24" ht="120" x14ac:dyDescent="0.25">
      <c r="A4" s="1" t="s">
        <v>28</v>
      </c>
      <c r="B4" s="4" t="s">
        <v>29</v>
      </c>
      <c r="C4" s="5">
        <v>2012</v>
      </c>
      <c r="D4" s="4" t="s">
        <v>24</v>
      </c>
      <c r="E4" s="1" t="s">
        <v>25</v>
      </c>
      <c r="F4" s="5">
        <v>2</v>
      </c>
      <c r="G4" s="6">
        <v>1</v>
      </c>
      <c r="H4" s="2">
        <v>667</v>
      </c>
      <c r="I4" s="2">
        <v>426</v>
      </c>
      <c r="J4" s="2">
        <v>202</v>
      </c>
      <c r="K4" s="2">
        <f>I4+J4</f>
        <v>628</v>
      </c>
      <c r="L4" s="4">
        <v>2</v>
      </c>
      <c r="M4" s="1">
        <f t="shared" si="0"/>
        <v>888.1261171703037</v>
      </c>
      <c r="N4" s="4">
        <f>(202*35.8+426*34.8)/(202+426)</f>
        <v>35.121656050955409</v>
      </c>
      <c r="O4" s="4">
        <v>2.7</v>
      </c>
      <c r="P4" s="5">
        <v>6</v>
      </c>
      <c r="Q4" s="4">
        <v>21.13</v>
      </c>
      <c r="R4" s="4">
        <v>12.71</v>
      </c>
      <c r="S4" s="4">
        <v>42</v>
      </c>
      <c r="T4" s="1">
        <f>(-2.030704 *N4)+103.035004</f>
        <v>31.713316570700641</v>
      </c>
      <c r="U4" s="1">
        <f>100*(1-(1-S4/100)*(1-T4/100))</f>
        <v>60.393723611006365</v>
      </c>
      <c r="V4" s="8">
        <v>8.3999999999999995E-3</v>
      </c>
      <c r="W4" s="5">
        <v>1</v>
      </c>
      <c r="X4" s="28" t="s">
        <v>140</v>
      </c>
    </row>
    <row r="5" spans="1:24" ht="105" x14ac:dyDescent="0.25">
      <c r="A5" s="1" t="s">
        <v>30</v>
      </c>
      <c r="B5" s="4" t="s">
        <v>31</v>
      </c>
      <c r="C5" s="5">
        <v>2013</v>
      </c>
      <c r="D5" s="4" t="s">
        <v>32</v>
      </c>
      <c r="E5" s="4" t="s">
        <v>33</v>
      </c>
      <c r="F5" s="5">
        <v>2</v>
      </c>
      <c r="G5" s="6">
        <v>1</v>
      </c>
      <c r="H5" s="2">
        <v>621</v>
      </c>
      <c r="I5" s="2">
        <v>201</v>
      </c>
      <c r="J5" s="2">
        <v>196</v>
      </c>
      <c r="K5" s="2">
        <f>I5+J5</f>
        <v>397</v>
      </c>
      <c r="L5" s="4">
        <v>1</v>
      </c>
      <c r="M5" s="1">
        <f t="shared" si="0"/>
        <v>397</v>
      </c>
      <c r="N5" s="4">
        <f>(204*36.6+208*35.3)/(204+208)</f>
        <v>35.943689320388344</v>
      </c>
      <c r="O5" s="4">
        <f>(2.7*204+2.8*208)/(204+208)</f>
        <v>2.7504854368932041</v>
      </c>
      <c r="P5" s="5">
        <v>3</v>
      </c>
      <c r="Q5" s="4">
        <v>13</v>
      </c>
      <c r="R5" s="4">
        <v>6</v>
      </c>
      <c r="S5" s="4">
        <v>57</v>
      </c>
      <c r="T5" s="1" t="s">
        <v>34</v>
      </c>
      <c r="U5" s="4">
        <v>57</v>
      </c>
      <c r="V5" s="8">
        <v>2.1000000000000001E-2</v>
      </c>
      <c r="W5" s="5">
        <v>1</v>
      </c>
      <c r="X5" s="28" t="s">
        <v>141</v>
      </c>
    </row>
    <row r="6" spans="1:24" ht="75" x14ac:dyDescent="0.25">
      <c r="A6" s="1" t="s">
        <v>35</v>
      </c>
      <c r="B6" s="4" t="s">
        <v>36</v>
      </c>
      <c r="C6" s="5">
        <v>2015</v>
      </c>
      <c r="D6" s="4" t="s">
        <v>32</v>
      </c>
      <c r="E6" s="1" t="s">
        <v>37</v>
      </c>
      <c r="F6" s="5">
        <v>2</v>
      </c>
      <c r="G6" s="6">
        <v>1</v>
      </c>
      <c r="H6" s="2">
        <v>1841</v>
      </c>
      <c r="I6" s="2">
        <v>919</v>
      </c>
      <c r="J6" s="2">
        <v>922</v>
      </c>
      <c r="K6" s="2">
        <f>I6+J6</f>
        <v>1841</v>
      </c>
      <c r="L6" s="1">
        <f>144/52.1429</f>
        <v>2.7616415657740556</v>
      </c>
      <c r="M6" s="1">
        <f t="shared" si="0"/>
        <v>3059.4083231383574</v>
      </c>
      <c r="N6" s="4">
        <f>(922*36.2+919*36.4)/(922+919)</f>
        <v>36.299837045084196</v>
      </c>
      <c r="O6" s="4">
        <v>2.5</v>
      </c>
      <c r="P6" s="5">
        <v>3</v>
      </c>
      <c r="Q6" s="4">
        <v>20</v>
      </c>
      <c r="R6" s="4">
        <v>16</v>
      </c>
      <c r="S6" s="4">
        <v>16</v>
      </c>
      <c r="T6" s="1">
        <f>(-2.030704 *N6)+103.035004</f>
        <v>29.320779713199343</v>
      </c>
      <c r="U6" s="1">
        <f>100*(1-(1-S6/100)*(1-T6/100))</f>
        <v>40.629454959087454</v>
      </c>
      <c r="V6" s="8">
        <v>0.16</v>
      </c>
      <c r="W6" s="5">
        <v>0</v>
      </c>
      <c r="X6" s="28" t="s">
        <v>142</v>
      </c>
    </row>
    <row r="7" spans="1:24" ht="90" x14ac:dyDescent="0.25">
      <c r="A7" s="1" t="s">
        <v>38</v>
      </c>
      <c r="B7" s="4" t="s">
        <v>39</v>
      </c>
      <c r="C7" s="2">
        <v>2012</v>
      </c>
      <c r="D7" s="4" t="s">
        <v>40</v>
      </c>
      <c r="E7" s="4" t="s">
        <v>33</v>
      </c>
      <c r="F7" s="5">
        <v>1</v>
      </c>
      <c r="G7" s="6">
        <v>1</v>
      </c>
      <c r="H7" s="2">
        <v>1430</v>
      </c>
      <c r="I7" s="2">
        <v>359</v>
      </c>
      <c r="J7" s="2">
        <v>363</v>
      </c>
      <c r="K7" s="2">
        <f>I7+J7/2</f>
        <v>540.5</v>
      </c>
      <c r="L7" s="4">
        <f>96/52.1429</f>
        <v>1.8410943771827037</v>
      </c>
      <c r="M7" s="1">
        <f t="shared" si="0"/>
        <v>733.38787256386331</v>
      </c>
      <c r="N7" s="4">
        <f>((363/2)*36.9+359*37.8)/((363/2)+359)</f>
        <v>37.497779833487513</v>
      </c>
      <c r="O7" s="4">
        <v>2.6</v>
      </c>
      <c r="P7" s="5">
        <v>3</v>
      </c>
      <c r="Q7" s="4">
        <v>17</v>
      </c>
      <c r="R7" s="4">
        <v>13</v>
      </c>
      <c r="S7" s="1">
        <v>21</v>
      </c>
      <c r="T7" s="1" t="s">
        <v>34</v>
      </c>
      <c r="U7" s="1">
        <v>21</v>
      </c>
      <c r="V7" s="3">
        <v>0.25</v>
      </c>
      <c r="W7" s="2">
        <v>0</v>
      </c>
      <c r="X7" s="28" t="s">
        <v>143</v>
      </c>
    </row>
    <row r="8" spans="1:24" ht="75" x14ac:dyDescent="0.25">
      <c r="A8" s="1" t="s">
        <v>41</v>
      </c>
      <c r="B8" s="4" t="s">
        <v>42</v>
      </c>
      <c r="C8" s="2">
        <v>2012</v>
      </c>
      <c r="D8" s="4" t="s">
        <v>40</v>
      </c>
      <c r="E8" s="4" t="s">
        <v>33</v>
      </c>
      <c r="F8" s="5">
        <v>1</v>
      </c>
      <c r="G8" s="6">
        <v>1</v>
      </c>
      <c r="H8" s="2">
        <v>1237</v>
      </c>
      <c r="I8" s="2">
        <v>409</v>
      </c>
      <c r="J8" s="2">
        <v>408</v>
      </c>
      <c r="K8" s="2">
        <f t="shared" ref="K8:K16" si="2">I8+J8</f>
        <v>817</v>
      </c>
      <c r="L8" s="4">
        <f>96/52.1429</f>
        <v>1.8410943771827037</v>
      </c>
      <c r="M8" s="1">
        <f t="shared" si="0"/>
        <v>1108.5622421548128</v>
      </c>
      <c r="N8" s="4">
        <f>(408*38.5+410*38.1)/(408+410)</f>
        <v>38.299511002444987</v>
      </c>
      <c r="O8" s="4">
        <f>(2.48*408+2.4*410)/(408+410)</f>
        <v>2.4399022004889979</v>
      </c>
      <c r="P8" s="5">
        <v>3</v>
      </c>
      <c r="Q8" s="4">
        <v>27</v>
      </c>
      <c r="R8" s="4">
        <v>16</v>
      </c>
      <c r="S8" s="4">
        <v>38</v>
      </c>
      <c r="T8" s="1" t="s">
        <v>34</v>
      </c>
      <c r="U8" s="1">
        <v>38</v>
      </c>
      <c r="V8" s="8">
        <v>5.0000000000000001E-3</v>
      </c>
      <c r="W8" s="5">
        <v>1</v>
      </c>
      <c r="X8" s="28" t="s">
        <v>144</v>
      </c>
    </row>
    <row r="9" spans="1:24" ht="75" x14ac:dyDescent="0.25">
      <c r="A9" s="1" t="s">
        <v>43</v>
      </c>
      <c r="B9" s="4" t="s">
        <v>44</v>
      </c>
      <c r="C9" s="5">
        <v>2010</v>
      </c>
      <c r="D9" s="4" t="s">
        <v>45</v>
      </c>
      <c r="E9" s="4" t="s">
        <v>33</v>
      </c>
      <c r="F9" s="5">
        <v>1</v>
      </c>
      <c r="G9" s="6">
        <v>1</v>
      </c>
      <c r="H9" s="2">
        <v>1272</v>
      </c>
      <c r="I9" s="2">
        <v>425</v>
      </c>
      <c r="J9" s="2">
        <v>418</v>
      </c>
      <c r="K9" s="2">
        <f t="shared" si="2"/>
        <v>843</v>
      </c>
      <c r="L9" s="4">
        <v>2</v>
      </c>
      <c r="M9" s="1">
        <f t="shared" si="0"/>
        <v>1192.1820330805192</v>
      </c>
      <c r="N9" s="4">
        <f>(425*36.6+418*37.2)/(425+418)</f>
        <v>36.897508896797149</v>
      </c>
      <c r="O9" s="4">
        <f>(2.3*425+2.5*418)/(425+418)</f>
        <v>2.3991696322657177</v>
      </c>
      <c r="P9" s="5">
        <v>3</v>
      </c>
      <c r="Q9" s="4">
        <v>24.1</v>
      </c>
      <c r="R9" s="4">
        <v>17.7</v>
      </c>
      <c r="S9" s="1">
        <v>30</v>
      </c>
      <c r="T9" s="1" t="s">
        <v>34</v>
      </c>
      <c r="U9" s="1">
        <v>30</v>
      </c>
      <c r="V9" s="3">
        <v>0.02</v>
      </c>
      <c r="W9" s="2">
        <v>1</v>
      </c>
      <c r="X9" s="28" t="s">
        <v>145</v>
      </c>
    </row>
    <row r="10" spans="1:24" ht="135" x14ac:dyDescent="0.25">
      <c r="A10" s="1" t="s">
        <v>46</v>
      </c>
      <c r="B10" s="4" t="s">
        <v>47</v>
      </c>
      <c r="C10" s="5">
        <v>2014</v>
      </c>
      <c r="D10" s="4" t="s">
        <v>45</v>
      </c>
      <c r="E10" s="4" t="s">
        <v>33</v>
      </c>
      <c r="F10" s="5">
        <v>1</v>
      </c>
      <c r="G10" s="6">
        <v>1</v>
      </c>
      <c r="H10" s="2">
        <v>1083</v>
      </c>
      <c r="I10" s="2">
        <v>358</v>
      </c>
      <c r="J10" s="2">
        <v>355</v>
      </c>
      <c r="K10" s="2">
        <f t="shared" si="2"/>
        <v>713</v>
      </c>
      <c r="L10" s="4">
        <f>720/365.25</f>
        <v>1.9712525667351128</v>
      </c>
      <c r="M10" s="1">
        <f t="shared" si="0"/>
        <v>1001.0612848864761</v>
      </c>
      <c r="N10" s="4">
        <f>(358*40.6+355*40.1)/(358+355)</f>
        <v>40.35105189340814</v>
      </c>
      <c r="O10" s="4">
        <v>2.4</v>
      </c>
      <c r="P10" s="5">
        <v>3</v>
      </c>
      <c r="Q10" s="4">
        <v>29</v>
      </c>
      <c r="R10" s="4">
        <v>25.3</v>
      </c>
      <c r="S10" s="1">
        <v>17</v>
      </c>
      <c r="T10" s="1" t="s">
        <v>34</v>
      </c>
      <c r="U10" s="1">
        <v>17</v>
      </c>
      <c r="V10" s="3">
        <v>0.22700000000000001</v>
      </c>
      <c r="W10" s="2">
        <v>0</v>
      </c>
      <c r="X10" s="28" t="s">
        <v>146</v>
      </c>
    </row>
    <row r="11" spans="1:24" ht="105" x14ac:dyDescent="0.25">
      <c r="A11" s="9" t="s">
        <v>48</v>
      </c>
      <c r="B11" s="10" t="s">
        <v>49</v>
      </c>
      <c r="C11" s="11">
        <v>2016</v>
      </c>
      <c r="D11" s="10" t="s">
        <v>45</v>
      </c>
      <c r="E11" s="10" t="s">
        <v>33</v>
      </c>
      <c r="F11" s="11">
        <v>1</v>
      </c>
      <c r="G11" s="6">
        <v>3</v>
      </c>
      <c r="H11" s="6">
        <v>970</v>
      </c>
      <c r="I11" s="6">
        <v>336</v>
      </c>
      <c r="J11" s="6">
        <v>487</v>
      </c>
      <c r="K11" s="6">
        <f t="shared" si="2"/>
        <v>823</v>
      </c>
      <c r="L11" s="9">
        <f>225/52.1429</f>
        <v>4.3150649465219617</v>
      </c>
      <c r="M11" s="1">
        <f t="shared" si="0"/>
        <v>1709.5960415147122</v>
      </c>
      <c r="N11" s="10">
        <v>48.5</v>
      </c>
      <c r="O11" s="10">
        <v>4.67</v>
      </c>
      <c r="P11" s="11">
        <v>3</v>
      </c>
      <c r="Q11" s="10">
        <v>49</v>
      </c>
      <c r="R11" s="10">
        <v>46</v>
      </c>
      <c r="S11" s="9">
        <v>11.99</v>
      </c>
      <c r="T11" s="9" t="s">
        <v>34</v>
      </c>
      <c r="U11" s="9">
        <v>11.99</v>
      </c>
      <c r="V11" s="12">
        <v>0.217</v>
      </c>
      <c r="W11" s="6">
        <v>0</v>
      </c>
      <c r="X11" s="28" t="s">
        <v>147</v>
      </c>
    </row>
    <row r="12" spans="1:24" ht="75" x14ac:dyDescent="0.25">
      <c r="A12" s="1" t="s">
        <v>50</v>
      </c>
      <c r="B12" s="4" t="s">
        <v>51</v>
      </c>
      <c r="C12" s="5">
        <v>2010</v>
      </c>
      <c r="D12" s="4" t="s">
        <v>45</v>
      </c>
      <c r="E12" s="1" t="s">
        <v>37</v>
      </c>
      <c r="F12" s="5">
        <v>1</v>
      </c>
      <c r="G12" s="6">
        <v>1</v>
      </c>
      <c r="H12" s="2">
        <v>1292</v>
      </c>
      <c r="I12" s="2">
        <v>429</v>
      </c>
      <c r="J12" s="2">
        <v>431</v>
      </c>
      <c r="K12" s="2">
        <f t="shared" si="2"/>
        <v>860</v>
      </c>
      <c r="L12" s="4">
        <v>1</v>
      </c>
      <c r="M12" s="1">
        <f t="shared" si="0"/>
        <v>860</v>
      </c>
      <c r="N12" s="4">
        <f>(431*36.7+435*36)/(431+435)</f>
        <v>36.348383371824482</v>
      </c>
      <c r="O12" s="4">
        <f>(2.24*431+2.19*435)/(431+435)</f>
        <v>2.2148845265588917</v>
      </c>
      <c r="P12" s="5">
        <v>3</v>
      </c>
      <c r="Q12" s="4">
        <v>7.9</v>
      </c>
      <c r="R12" s="4">
        <v>5.9</v>
      </c>
      <c r="S12" s="4">
        <f>(1-R12/Q12)*100</f>
        <v>25.316455696202532</v>
      </c>
      <c r="T12" s="1">
        <f>(-2.030704 *N12)+103.035004</f>
        <v>29.222196493302533</v>
      </c>
      <c r="U12" s="1">
        <f>100*(1-(1-S12/100)*(1-T12/100))</f>
        <v>47.140627760820877</v>
      </c>
      <c r="V12" s="8">
        <v>0.25</v>
      </c>
      <c r="W12" s="5">
        <v>0</v>
      </c>
      <c r="X12" s="28" t="s">
        <v>148</v>
      </c>
    </row>
    <row r="13" spans="1:24" ht="150" x14ac:dyDescent="0.25">
      <c r="A13" s="1" t="s">
        <v>52</v>
      </c>
      <c r="B13" s="1" t="s">
        <v>53</v>
      </c>
      <c r="C13" s="2">
        <v>1995</v>
      </c>
      <c r="D13" s="4" t="s">
        <v>54</v>
      </c>
      <c r="E13" s="4" t="s">
        <v>33</v>
      </c>
      <c r="F13" s="5">
        <v>1</v>
      </c>
      <c r="G13" s="6">
        <v>1</v>
      </c>
      <c r="H13" s="2">
        <v>251</v>
      </c>
      <c r="I13" s="2">
        <v>125</v>
      </c>
      <c r="J13" s="2">
        <v>126</v>
      </c>
      <c r="K13" s="2">
        <f t="shared" si="2"/>
        <v>251</v>
      </c>
      <c r="L13" s="4">
        <v>2</v>
      </c>
      <c r="M13" s="1">
        <f t="shared" si="0"/>
        <v>354.96760415564688</v>
      </c>
      <c r="N13" s="4" t="s">
        <v>176</v>
      </c>
      <c r="O13" s="4">
        <f>(125*2.8+126*2.4)/(125+126)</f>
        <v>2.5992031872509958</v>
      </c>
      <c r="P13" s="5">
        <v>3</v>
      </c>
      <c r="Q13" s="4">
        <v>24.6</v>
      </c>
      <c r="R13" s="4">
        <v>21.6</v>
      </c>
      <c r="S13" s="4">
        <f>100*(1-R13/Q13)</f>
        <v>12.195121951219512</v>
      </c>
      <c r="T13" s="1" t="s">
        <v>34</v>
      </c>
      <c r="U13" s="1">
        <f>100*(1-R13/Q13)</f>
        <v>12.195121951219512</v>
      </c>
      <c r="V13" s="8" t="s">
        <v>55</v>
      </c>
      <c r="W13" s="5">
        <v>0</v>
      </c>
      <c r="X13" s="28" t="s">
        <v>149</v>
      </c>
    </row>
    <row r="14" spans="1:24" ht="120" x14ac:dyDescent="0.25">
      <c r="A14" s="1" t="s">
        <v>56</v>
      </c>
      <c r="B14" s="1" t="s">
        <v>177</v>
      </c>
      <c r="C14" s="2">
        <v>2007</v>
      </c>
      <c r="D14" s="4" t="s">
        <v>54</v>
      </c>
      <c r="E14" s="4" t="s">
        <v>33</v>
      </c>
      <c r="F14" s="5">
        <v>1</v>
      </c>
      <c r="G14" s="6">
        <v>3</v>
      </c>
      <c r="H14" s="2">
        <v>943</v>
      </c>
      <c r="I14" s="7">
        <v>621</v>
      </c>
      <c r="J14" s="7">
        <v>314</v>
      </c>
      <c r="K14" s="7">
        <f t="shared" si="2"/>
        <v>935</v>
      </c>
      <c r="L14" s="13">
        <v>3</v>
      </c>
      <c r="M14" s="1">
        <f t="shared" si="0"/>
        <v>1619.4675050769001</v>
      </c>
      <c r="N14" s="4">
        <v>50.4</v>
      </c>
      <c r="O14" s="4">
        <v>4.9000000000000004</v>
      </c>
      <c r="P14" s="5">
        <v>3</v>
      </c>
      <c r="Q14" s="4" t="s">
        <v>57</v>
      </c>
      <c r="R14" s="4" t="s">
        <v>57</v>
      </c>
      <c r="S14" s="4">
        <v>13</v>
      </c>
      <c r="T14" s="1" t="s">
        <v>34</v>
      </c>
      <c r="U14" s="1">
        <v>13</v>
      </c>
      <c r="V14" s="8">
        <v>0.17530000000000001</v>
      </c>
      <c r="W14" s="5">
        <v>0</v>
      </c>
      <c r="X14" s="28" t="s">
        <v>150</v>
      </c>
    </row>
    <row r="15" spans="1:24" ht="165" x14ac:dyDescent="0.25">
      <c r="A15" s="1" t="s">
        <v>58</v>
      </c>
      <c r="B15" s="4" t="s">
        <v>59</v>
      </c>
      <c r="C15" s="2">
        <v>2008</v>
      </c>
      <c r="D15" s="4" t="s">
        <v>54</v>
      </c>
      <c r="E15" s="9" t="s">
        <v>60</v>
      </c>
      <c r="F15" s="5">
        <v>1</v>
      </c>
      <c r="G15" s="6">
        <v>1</v>
      </c>
      <c r="H15" s="2">
        <v>764</v>
      </c>
      <c r="I15" s="2">
        <v>378</v>
      </c>
      <c r="J15" s="2">
        <v>386</v>
      </c>
      <c r="K15" s="2">
        <f t="shared" si="2"/>
        <v>764</v>
      </c>
      <c r="L15" s="1">
        <f>96/52.1429</f>
        <v>1.8410943771827037</v>
      </c>
      <c r="M15" s="1">
        <f t="shared" si="0"/>
        <v>1036.6481676943415</v>
      </c>
      <c r="N15" s="4">
        <f>(386*36.7+378*36.8)/(386+378)</f>
        <v>36.749476439790577</v>
      </c>
      <c r="O15" s="4">
        <f>(2.35*386+2.33*378)/(386+378)</f>
        <v>2.3401047120418852</v>
      </c>
      <c r="P15" s="5">
        <v>6</v>
      </c>
      <c r="Q15" s="4">
        <v>11.7</v>
      </c>
      <c r="R15" s="4">
        <v>8.6999999999999993</v>
      </c>
      <c r="S15" s="4">
        <f>100*(1-(R15/Q15))</f>
        <v>25.641025641025639</v>
      </c>
      <c r="T15" s="1">
        <f>(-2.030704 *N15)+103.035004</f>
        <v>28.407695195811513</v>
      </c>
      <c r="U15" s="1">
        <f>100*(1-(1-S15/100)*(1-T15/100))</f>
        <v>46.764696427654705</v>
      </c>
      <c r="V15" s="8">
        <v>0.11700000000000001</v>
      </c>
      <c r="W15" s="5">
        <v>0</v>
      </c>
      <c r="X15" s="28" t="s">
        <v>151</v>
      </c>
    </row>
    <row r="16" spans="1:24" ht="120" x14ac:dyDescent="0.25">
      <c r="A16" s="1" t="s">
        <v>61</v>
      </c>
      <c r="B16" s="4" t="s">
        <v>62</v>
      </c>
      <c r="C16" s="2">
        <v>2009</v>
      </c>
      <c r="D16" s="4" t="s">
        <v>54</v>
      </c>
      <c r="E16" s="1" t="s">
        <v>63</v>
      </c>
      <c r="F16" s="5">
        <v>1</v>
      </c>
      <c r="G16" s="6">
        <v>1</v>
      </c>
      <c r="H16" s="2">
        <v>2244</v>
      </c>
      <c r="I16" s="2">
        <v>455</v>
      </c>
      <c r="J16" s="2">
        <v>888</v>
      </c>
      <c r="K16" s="2">
        <f t="shared" si="2"/>
        <v>1343</v>
      </c>
      <c r="L16" s="4">
        <v>2</v>
      </c>
      <c r="M16" s="1">
        <f t="shared" si="0"/>
        <v>1899.2888142670668</v>
      </c>
      <c r="N16" s="4">
        <f>(897*35.8+448*35.2)/(897+448)</f>
        <v>35.600148698884759</v>
      </c>
      <c r="O16" s="4">
        <f>(2.28*448+2.35*897)/(448+897)</f>
        <v>2.3266840148698886</v>
      </c>
      <c r="P16" s="5">
        <v>3</v>
      </c>
      <c r="Q16" s="4">
        <v>21</v>
      </c>
      <c r="R16" s="4">
        <v>20</v>
      </c>
      <c r="S16" s="9">
        <f>100*(1-R16/Q16)</f>
        <v>4.7619047619047672</v>
      </c>
      <c r="T16" s="1">
        <f>(-2.030704 *N16)+103.035004</f>
        <v>30.741639636579919</v>
      </c>
      <c r="U16" s="1">
        <f>100*(1-(1-S16/100)*(1-T16/100))</f>
        <v>34.03965679674279</v>
      </c>
      <c r="V16" s="3">
        <v>0.68</v>
      </c>
      <c r="W16" s="6">
        <v>0</v>
      </c>
      <c r="X16" s="28" t="s">
        <v>152</v>
      </c>
    </row>
    <row r="17" spans="1:24" ht="90" x14ac:dyDescent="0.25">
      <c r="A17" s="1" t="s">
        <v>64</v>
      </c>
      <c r="B17" s="4" t="s">
        <v>39</v>
      </c>
      <c r="C17" s="2">
        <v>2012</v>
      </c>
      <c r="D17" s="4" t="s">
        <v>54</v>
      </c>
      <c r="E17" s="4" t="s">
        <v>33</v>
      </c>
      <c r="F17" s="5">
        <v>1</v>
      </c>
      <c r="G17" s="6">
        <v>1</v>
      </c>
      <c r="H17" s="2">
        <v>1417</v>
      </c>
      <c r="I17" s="2">
        <v>350</v>
      </c>
      <c r="J17" s="2">
        <v>363</v>
      </c>
      <c r="K17" s="2">
        <f>I17+(J17/2)</f>
        <v>531.5</v>
      </c>
      <c r="L17" s="4">
        <f>96/52.1429</f>
        <v>1.8410943771827037</v>
      </c>
      <c r="M17" s="1">
        <f t="shared" si="0"/>
        <v>721.17604859887763</v>
      </c>
      <c r="N17" s="4">
        <f>(36.9*363+37.8*350)/(363+350)</f>
        <v>37.341795231416548</v>
      </c>
      <c r="O17" s="4">
        <v>2.6</v>
      </c>
      <c r="P17" s="5">
        <v>3</v>
      </c>
      <c r="Q17" s="4">
        <v>17</v>
      </c>
      <c r="R17" s="4">
        <v>16</v>
      </c>
      <c r="S17" s="1">
        <v>7</v>
      </c>
      <c r="T17" s="1" t="s">
        <v>34</v>
      </c>
      <c r="U17" s="1">
        <v>7</v>
      </c>
      <c r="V17" s="3">
        <v>0.7</v>
      </c>
      <c r="W17" s="2">
        <v>0</v>
      </c>
      <c r="X17" s="28" t="s">
        <v>143</v>
      </c>
    </row>
    <row r="18" spans="1:24" ht="90" x14ac:dyDescent="0.25">
      <c r="A18" s="1" t="s">
        <v>65</v>
      </c>
      <c r="B18" s="4" t="s">
        <v>66</v>
      </c>
      <c r="C18" s="5">
        <v>2013</v>
      </c>
      <c r="D18" s="4" t="s">
        <v>54</v>
      </c>
      <c r="E18" s="1" t="s">
        <v>37</v>
      </c>
      <c r="F18" s="5">
        <v>1</v>
      </c>
      <c r="G18" s="6">
        <v>1</v>
      </c>
      <c r="H18" s="2">
        <v>1008</v>
      </c>
      <c r="I18" s="2">
        <v>246</v>
      </c>
      <c r="J18" s="2">
        <v>241</v>
      </c>
      <c r="K18" s="2">
        <f>I18+J18</f>
        <v>487</v>
      </c>
      <c r="L18" s="4">
        <v>3</v>
      </c>
      <c r="M18" s="1">
        <f xml:space="preserve"> K18*SQRT(L18)</f>
        <v>843.50874328604323</v>
      </c>
      <c r="N18" s="4">
        <f>(250*37.6+259*39)/(250+259)</f>
        <v>38.312377210216113</v>
      </c>
      <c r="O18" s="4">
        <f>(250*2+259*1.9)/(250+259)</f>
        <v>1.9491159135559919</v>
      </c>
      <c r="P18" s="5">
        <v>3</v>
      </c>
      <c r="Q18" s="4">
        <f>100*52/241</f>
        <v>21.57676348547718</v>
      </c>
      <c r="R18" s="4">
        <f>100*61/246</f>
        <v>24.796747967479675</v>
      </c>
      <c r="S18" s="4">
        <f>100*(1-(R18/Q18))</f>
        <v>-14.923389618511562</v>
      </c>
      <c r="T18" s="1">
        <f>(-2.030704 *N18)+103.035004</f>
        <v>25.233906349705293</v>
      </c>
      <c r="U18" s="1">
        <f>100*(1-(1-S18/100)*(1-T18/100))</f>
        <v>14.07627089173058</v>
      </c>
      <c r="V18" s="8" t="s">
        <v>67</v>
      </c>
      <c r="W18" s="2" t="s">
        <v>34</v>
      </c>
      <c r="X18" s="28" t="s">
        <v>153</v>
      </c>
    </row>
    <row r="19" spans="1:24" ht="120" x14ac:dyDescent="0.25">
      <c r="A19" s="1" t="s">
        <v>68</v>
      </c>
      <c r="B19" s="4" t="s">
        <v>69</v>
      </c>
      <c r="C19" s="2">
        <v>1996</v>
      </c>
      <c r="D19" s="1" t="s">
        <v>37</v>
      </c>
      <c r="E19" s="4" t="s">
        <v>33</v>
      </c>
      <c r="F19" s="5">
        <v>1</v>
      </c>
      <c r="G19" s="6">
        <v>1</v>
      </c>
      <c r="H19" s="2">
        <v>301</v>
      </c>
      <c r="I19" s="2">
        <v>158</v>
      </c>
      <c r="J19" s="2">
        <v>143</v>
      </c>
      <c r="K19" s="2">
        <f>I19+J19</f>
        <v>301</v>
      </c>
      <c r="L19" s="4">
        <v>2</v>
      </c>
      <c r="M19" s="1">
        <f t="shared" si="0"/>
        <v>425.67828227430164</v>
      </c>
      <c r="N19" s="4">
        <f>(143*36.9+158*36.7)/(143+158)</f>
        <v>36.795016611295679</v>
      </c>
      <c r="O19" s="4">
        <f>(2.3*143+2.4*158)/(143+158)</f>
        <v>2.352491694352159</v>
      </c>
      <c r="P19" s="5">
        <v>6</v>
      </c>
      <c r="Q19" s="4">
        <v>34.9</v>
      </c>
      <c r="R19" s="4">
        <v>21.9</v>
      </c>
      <c r="S19" s="4">
        <f>100*(1-R19/Q19)</f>
        <v>37.249283667621782</v>
      </c>
      <c r="T19" s="1" t="s">
        <v>34</v>
      </c>
      <c r="U19" s="1">
        <f>100*(1-R19/Q19)</f>
        <v>37.249283667621782</v>
      </c>
      <c r="V19" s="8">
        <v>0.02</v>
      </c>
      <c r="W19" s="5">
        <v>1</v>
      </c>
      <c r="X19" s="28" t="s">
        <v>154</v>
      </c>
    </row>
    <row r="20" spans="1:24" ht="150" x14ac:dyDescent="0.25">
      <c r="A20" s="1" t="s">
        <v>70</v>
      </c>
      <c r="B20" s="4" t="s">
        <v>71</v>
      </c>
      <c r="C20" s="5">
        <v>2009</v>
      </c>
      <c r="D20" s="1" t="s">
        <v>63</v>
      </c>
      <c r="E20" s="4" t="s">
        <v>33</v>
      </c>
      <c r="F20" s="5">
        <v>1</v>
      </c>
      <c r="G20" s="6" t="s">
        <v>72</v>
      </c>
      <c r="H20" s="2">
        <v>73</v>
      </c>
      <c r="I20" s="2">
        <v>36</v>
      </c>
      <c r="J20" s="2">
        <v>37</v>
      </c>
      <c r="K20" s="2">
        <f>I20+J20</f>
        <v>73</v>
      </c>
      <c r="L20" s="4">
        <v>2</v>
      </c>
      <c r="M20" s="1">
        <f t="shared" si="0"/>
        <v>103.23759005323595</v>
      </c>
      <c r="N20" s="4">
        <f>(36*48.8+37*48.6)/(36+37)</f>
        <v>48.698630136986303</v>
      </c>
      <c r="O20" s="4">
        <f>(36*5.3+37*5.2)/(36+37)</f>
        <v>5.2493150684931509</v>
      </c>
      <c r="P20" s="5">
        <v>3</v>
      </c>
      <c r="Q20" s="4">
        <f>100-56.8</f>
        <v>43.2</v>
      </c>
      <c r="R20" s="4">
        <f>100-65.8</f>
        <v>34.200000000000003</v>
      </c>
      <c r="S20" s="4">
        <f>100*(1-R20/Q20)</f>
        <v>20.833333333333336</v>
      </c>
      <c r="T20" s="1" t="s">
        <v>34</v>
      </c>
      <c r="U20" s="1">
        <f>100*(1-R20/Q20)</f>
        <v>20.833333333333336</v>
      </c>
      <c r="V20" s="8">
        <v>0.3135</v>
      </c>
      <c r="W20" s="2">
        <v>0</v>
      </c>
      <c r="X20" s="28" t="s">
        <v>155</v>
      </c>
    </row>
    <row r="21" spans="1:24" ht="105" x14ac:dyDescent="0.25">
      <c r="A21" s="1" t="s">
        <v>73</v>
      </c>
      <c r="B21" s="1" t="s">
        <v>74</v>
      </c>
      <c r="C21" s="2">
        <v>2003</v>
      </c>
      <c r="D21" s="1" t="s">
        <v>37</v>
      </c>
      <c r="E21" s="4" t="s">
        <v>33</v>
      </c>
      <c r="F21" s="5">
        <v>1</v>
      </c>
      <c r="G21" s="6">
        <v>3</v>
      </c>
      <c r="H21" s="2">
        <v>50</v>
      </c>
      <c r="I21" s="2">
        <v>15</v>
      </c>
      <c r="J21" s="2">
        <v>20</v>
      </c>
      <c r="K21" s="2">
        <f>I21+J21</f>
        <v>35</v>
      </c>
      <c r="L21" s="4">
        <v>2</v>
      </c>
      <c r="M21" s="1">
        <f t="shared" si="0"/>
        <v>49.497474683058329</v>
      </c>
      <c r="N21" s="4">
        <f>(43*20+46.5*15)/(20+15)</f>
        <v>44.5</v>
      </c>
      <c r="O21" s="4">
        <v>5.25</v>
      </c>
      <c r="P21" s="5">
        <v>3</v>
      </c>
      <c r="Q21" s="4">
        <v>45</v>
      </c>
      <c r="R21" s="4">
        <v>54</v>
      </c>
      <c r="S21" s="4">
        <f>100*(1-R21/Q21)</f>
        <v>-19.999999999999996</v>
      </c>
      <c r="T21" s="1" t="s">
        <v>34</v>
      </c>
      <c r="U21" s="1">
        <f>100*(1-R21/Q21)</f>
        <v>-19.999999999999996</v>
      </c>
      <c r="V21" s="8" t="s">
        <v>55</v>
      </c>
      <c r="W21" s="5">
        <v>0</v>
      </c>
      <c r="X21" s="28" t="s">
        <v>156</v>
      </c>
    </row>
    <row r="22" spans="1:24" ht="165" x14ac:dyDescent="0.25">
      <c r="A22" s="1" t="s">
        <v>75</v>
      </c>
      <c r="B22" s="4" t="s">
        <v>76</v>
      </c>
      <c r="C22" s="2">
        <v>1998</v>
      </c>
      <c r="D22" s="1" t="s">
        <v>77</v>
      </c>
      <c r="E22" s="4" t="s">
        <v>33</v>
      </c>
      <c r="F22" s="5">
        <v>1</v>
      </c>
      <c r="G22" s="6">
        <v>1</v>
      </c>
      <c r="H22" s="2">
        <v>560</v>
      </c>
      <c r="I22" s="2">
        <v>189</v>
      </c>
      <c r="J22" s="2">
        <v>187</v>
      </c>
      <c r="K22" s="2">
        <f>I22+(J22/2)</f>
        <v>282.5</v>
      </c>
      <c r="L22" s="4">
        <v>2</v>
      </c>
      <c r="M22" s="1">
        <f t="shared" si="0"/>
        <v>399.51533137039939</v>
      </c>
      <c r="N22" s="4">
        <v>34.9</v>
      </c>
      <c r="O22" s="4">
        <f>((187/2)*2.4+189*2.5)/((187/2)+189)</f>
        <v>2.4669026548672566</v>
      </c>
      <c r="P22" s="5">
        <v>3</v>
      </c>
      <c r="Q22" s="4">
        <f>100*(1-110/187)</f>
        <v>41.17647058823529</v>
      </c>
      <c r="R22" s="4">
        <f>100*(1-125/189)</f>
        <v>33.862433862433861</v>
      </c>
      <c r="S22" s="1">
        <f>100*(1-R22/Q22)</f>
        <v>17.762660619803473</v>
      </c>
      <c r="T22" s="1" t="s">
        <v>34</v>
      </c>
      <c r="U22" s="1">
        <f>100*(1-R22/Q22)</f>
        <v>17.762660619803473</v>
      </c>
      <c r="V22" s="3" t="s">
        <v>78</v>
      </c>
      <c r="W22" s="2">
        <v>1</v>
      </c>
      <c r="X22" s="28" t="s">
        <v>157</v>
      </c>
    </row>
    <row r="23" spans="1:24" ht="165" x14ac:dyDescent="0.25">
      <c r="A23" s="1" t="s">
        <v>79</v>
      </c>
      <c r="B23" s="4" t="s">
        <v>76</v>
      </c>
      <c r="C23" s="2">
        <v>1998</v>
      </c>
      <c r="D23" s="1" t="s">
        <v>25</v>
      </c>
      <c r="E23" s="4" t="s">
        <v>33</v>
      </c>
      <c r="F23" s="5">
        <v>1</v>
      </c>
      <c r="G23" s="6">
        <v>1</v>
      </c>
      <c r="H23" s="2">
        <v>560</v>
      </c>
      <c r="I23" s="2">
        <v>184</v>
      </c>
      <c r="J23" s="2">
        <v>187</v>
      </c>
      <c r="K23" s="2">
        <f>I23+(J23/2)</f>
        <v>277.5</v>
      </c>
      <c r="L23" s="4">
        <v>2</v>
      </c>
      <c r="M23" s="1">
        <f t="shared" si="0"/>
        <v>392.44426355853392</v>
      </c>
      <c r="N23" s="4">
        <v>34.9</v>
      </c>
      <c r="O23" s="4">
        <f>((187/2)*2.4+184*2.5)/((187/2)+184)</f>
        <v>2.4663063063063064</v>
      </c>
      <c r="P23" s="5">
        <v>3</v>
      </c>
      <c r="Q23" s="4">
        <f>100*(1-110/187)</f>
        <v>41.17647058823529</v>
      </c>
      <c r="R23" s="4">
        <f>100*(1-130/184)</f>
        <v>29.34782608695652</v>
      </c>
      <c r="S23" s="1">
        <f>100*(1-R23/Q23)</f>
        <v>28.726708074534159</v>
      </c>
      <c r="T23" s="1" t="s">
        <v>34</v>
      </c>
      <c r="U23" s="1">
        <f>100*(1-R23/Q23)</f>
        <v>28.726708074534159</v>
      </c>
      <c r="V23" s="3" t="s">
        <v>78</v>
      </c>
      <c r="W23" s="2">
        <v>1</v>
      </c>
      <c r="X23" s="28" t="s">
        <v>157</v>
      </c>
    </row>
    <row r="24" spans="1:24" ht="135" x14ac:dyDescent="0.25">
      <c r="A24" s="1" t="s">
        <v>80</v>
      </c>
      <c r="B24" s="4" t="s">
        <v>81</v>
      </c>
      <c r="C24" s="2">
        <v>2001</v>
      </c>
      <c r="D24" s="1" t="s">
        <v>82</v>
      </c>
      <c r="E24" s="4" t="s">
        <v>33</v>
      </c>
      <c r="F24" s="5">
        <v>1</v>
      </c>
      <c r="G24" s="6">
        <v>2</v>
      </c>
      <c r="H24" s="2">
        <v>618</v>
      </c>
      <c r="I24" s="2">
        <v>172</v>
      </c>
      <c r="J24" s="2">
        <v>173</v>
      </c>
      <c r="K24" s="2">
        <f>I24+(J24/2)</f>
        <v>258.5</v>
      </c>
      <c r="L24" s="4">
        <v>3</v>
      </c>
      <c r="M24" s="1">
        <f t="shared" si="0"/>
        <v>447.73513375655477</v>
      </c>
      <c r="N24" s="4">
        <f>((205/2)*42.7+209*43.1)/(209+(205/2))</f>
        <v>42.968378812199035</v>
      </c>
      <c r="O24" s="4">
        <f>((205/2)*5.4+209*5.5)/((205/2)+209)</f>
        <v>5.4670947030497592</v>
      </c>
      <c r="P24" s="5">
        <v>3</v>
      </c>
      <c r="Q24" s="4" t="s">
        <v>57</v>
      </c>
      <c r="R24" s="4" t="s">
        <v>57</v>
      </c>
      <c r="S24" s="1">
        <v>12</v>
      </c>
      <c r="T24" s="1" t="s">
        <v>34</v>
      </c>
      <c r="U24" s="1">
        <v>12</v>
      </c>
      <c r="V24" s="8">
        <v>0.30499999999999999</v>
      </c>
      <c r="W24" s="2">
        <v>0</v>
      </c>
      <c r="X24" s="28" t="s">
        <v>158</v>
      </c>
    </row>
    <row r="25" spans="1:24" ht="135" x14ac:dyDescent="0.25">
      <c r="A25" s="1" t="s">
        <v>83</v>
      </c>
      <c r="B25" s="4" t="s">
        <v>81</v>
      </c>
      <c r="C25" s="2">
        <v>2001</v>
      </c>
      <c r="D25" s="1" t="s">
        <v>25</v>
      </c>
      <c r="E25" s="4" t="s">
        <v>33</v>
      </c>
      <c r="F25" s="5">
        <v>1</v>
      </c>
      <c r="G25" s="6">
        <v>2</v>
      </c>
      <c r="H25" s="2">
        <v>618</v>
      </c>
      <c r="I25" s="2">
        <v>161</v>
      </c>
      <c r="J25" s="2">
        <v>173</v>
      </c>
      <c r="K25" s="2">
        <f>I25+(J25/2)</f>
        <v>247.5</v>
      </c>
      <c r="L25" s="4">
        <v>3</v>
      </c>
      <c r="M25" s="1">
        <f t="shared" si="0"/>
        <v>428.68257487329709</v>
      </c>
      <c r="N25" s="4">
        <f>((205/2)*42.7+204*42.6)/(204+(205/2))</f>
        <v>42.63344208809135</v>
      </c>
      <c r="O25" s="4">
        <f>((205/2)*5.4+204*5.3)/((205/2)+204)</f>
        <v>5.3334420880913544</v>
      </c>
      <c r="P25" s="5">
        <v>3</v>
      </c>
      <c r="Q25" s="4" t="s">
        <v>57</v>
      </c>
      <c r="R25" s="4" t="s">
        <v>57</v>
      </c>
      <c r="S25" s="1">
        <v>17</v>
      </c>
      <c r="T25" s="1" t="s">
        <v>34</v>
      </c>
      <c r="U25" s="1">
        <v>17</v>
      </c>
      <c r="V25" s="8">
        <v>0.14599999999999999</v>
      </c>
      <c r="W25" s="2">
        <v>0</v>
      </c>
      <c r="X25" s="28" t="s">
        <v>158</v>
      </c>
    </row>
    <row r="26" spans="1:24" ht="120" x14ac:dyDescent="0.25">
      <c r="A26" s="1" t="s">
        <v>84</v>
      </c>
      <c r="B26" s="1" t="s">
        <v>85</v>
      </c>
      <c r="C26" s="5">
        <v>1995</v>
      </c>
      <c r="D26" s="1" t="s">
        <v>63</v>
      </c>
      <c r="E26" s="4" t="s">
        <v>33</v>
      </c>
      <c r="F26" s="5">
        <v>1</v>
      </c>
      <c r="G26" s="6">
        <v>1</v>
      </c>
      <c r="H26" s="2">
        <v>372</v>
      </c>
      <c r="I26" s="2">
        <v>122</v>
      </c>
      <c r="J26" s="2">
        <v>122</v>
      </c>
      <c r="K26" s="2">
        <f t="shared" ref="K26:K36" si="3">I26+J26</f>
        <v>244</v>
      </c>
      <c r="L26" s="1">
        <v>5</v>
      </c>
      <c r="M26" s="1">
        <f t="shared" si="0"/>
        <v>545.6005865099487</v>
      </c>
      <c r="N26" s="4">
        <v>35.5</v>
      </c>
      <c r="O26" s="4">
        <v>2.9</v>
      </c>
      <c r="P26" s="5">
        <v>3</v>
      </c>
      <c r="Q26" s="4">
        <f>100*(56/122)</f>
        <v>45.901639344262293</v>
      </c>
      <c r="R26" s="4">
        <f>100*(43/122)</f>
        <v>35.245901639344261</v>
      </c>
      <c r="S26" s="4">
        <f>100*(1-R26/Q26)</f>
        <v>23.214285714285708</v>
      </c>
      <c r="T26" s="1" t="s">
        <v>34</v>
      </c>
      <c r="U26" s="1">
        <f>100*(1-R26/Q26)</f>
        <v>23.214285714285708</v>
      </c>
      <c r="V26" s="8">
        <v>9.6000000000000002E-2</v>
      </c>
      <c r="W26" s="2">
        <v>0</v>
      </c>
      <c r="X26" s="28" t="s">
        <v>159</v>
      </c>
    </row>
    <row r="27" spans="1:24" ht="135" x14ac:dyDescent="0.25">
      <c r="A27" s="1" t="s">
        <v>86</v>
      </c>
      <c r="B27" s="4" t="s">
        <v>87</v>
      </c>
      <c r="C27" s="5">
        <v>1998</v>
      </c>
      <c r="D27" s="1" t="s">
        <v>63</v>
      </c>
      <c r="E27" s="4" t="s">
        <v>33</v>
      </c>
      <c r="F27" s="5">
        <v>1</v>
      </c>
      <c r="G27" s="6">
        <v>2</v>
      </c>
      <c r="H27" s="2">
        <v>718</v>
      </c>
      <c r="I27" s="2">
        <v>360</v>
      </c>
      <c r="J27" s="2">
        <v>358</v>
      </c>
      <c r="K27" s="2">
        <f t="shared" si="3"/>
        <v>718</v>
      </c>
      <c r="L27" s="4">
        <f>33/12</f>
        <v>2.75</v>
      </c>
      <c r="M27" s="1">
        <f t="shared" si="0"/>
        <v>1190.6682997375885</v>
      </c>
      <c r="N27" s="4">
        <f>(358*40.9+360*41.1)/(358+360)</f>
        <v>41.000278551532027</v>
      </c>
      <c r="O27" s="4">
        <f>(358*5.2+360*5.1)/(358+360)</f>
        <v>5.1498607242339833</v>
      </c>
      <c r="P27" s="5">
        <v>3</v>
      </c>
      <c r="Q27" s="4">
        <v>49.7</v>
      </c>
      <c r="R27" s="4">
        <v>38.9</v>
      </c>
      <c r="S27" s="1">
        <f>100*(1-R27/Q27)</f>
        <v>21.730382293762585</v>
      </c>
      <c r="T27" s="1" t="s">
        <v>34</v>
      </c>
      <c r="U27" s="1">
        <f>100*(1-R27/Q27)</f>
        <v>21.730382293762585</v>
      </c>
      <c r="V27" s="3">
        <v>4.7999999999999996E-3</v>
      </c>
      <c r="W27" s="2">
        <v>1</v>
      </c>
      <c r="X27" s="28" t="s">
        <v>160</v>
      </c>
    </row>
    <row r="28" spans="1:24" ht="135" x14ac:dyDescent="0.25">
      <c r="A28" s="1" t="s">
        <v>88</v>
      </c>
      <c r="B28" s="4" t="s">
        <v>89</v>
      </c>
      <c r="C28" s="5">
        <v>2004</v>
      </c>
      <c r="D28" s="1" t="s">
        <v>63</v>
      </c>
      <c r="E28" s="4" t="s">
        <v>33</v>
      </c>
      <c r="F28" s="5">
        <v>1</v>
      </c>
      <c r="G28" s="6">
        <v>2</v>
      </c>
      <c r="H28" s="2">
        <v>939</v>
      </c>
      <c r="I28" s="2">
        <v>317</v>
      </c>
      <c r="J28" s="2">
        <v>308</v>
      </c>
      <c r="K28" s="2">
        <f>I28+J28</f>
        <v>625</v>
      </c>
      <c r="L28" s="4">
        <v>3</v>
      </c>
      <c r="M28" s="1">
        <f xml:space="preserve"> K28*SQRT(L28)</f>
        <v>1082.5317547305483</v>
      </c>
      <c r="N28" s="4">
        <v>46.8</v>
      </c>
      <c r="O28" s="4">
        <f>(308*5.1+317*5.2)/(308+317)</f>
        <v>5.1507199999999997</v>
      </c>
      <c r="P28" s="5">
        <v>6</v>
      </c>
      <c r="Q28" s="4">
        <f>100*(106/308)</f>
        <v>34.415584415584419</v>
      </c>
      <c r="R28" s="4">
        <f>100*(103/317)</f>
        <v>32.49211356466877</v>
      </c>
      <c r="S28" s="4">
        <f>100*(1-R28/Q28)</f>
        <v>5.5889530385096258</v>
      </c>
      <c r="T28" s="1" t="s">
        <v>34</v>
      </c>
      <c r="U28" s="1">
        <f>100*(1-R28/Q28)</f>
        <v>5.5889530385096258</v>
      </c>
      <c r="V28" s="8">
        <v>0.59</v>
      </c>
      <c r="W28" s="5">
        <v>0</v>
      </c>
      <c r="X28" s="28" t="s">
        <v>161</v>
      </c>
    </row>
    <row r="29" spans="1:24" ht="105" x14ac:dyDescent="0.25">
      <c r="A29" s="1" t="s">
        <v>90</v>
      </c>
      <c r="B29" s="4" t="s">
        <v>91</v>
      </c>
      <c r="C29" s="5">
        <v>2014</v>
      </c>
      <c r="D29" s="1" t="s">
        <v>92</v>
      </c>
      <c r="E29" s="4" t="s">
        <v>33</v>
      </c>
      <c r="F29" s="5">
        <v>1</v>
      </c>
      <c r="G29" s="6">
        <v>1</v>
      </c>
      <c r="H29" s="2">
        <v>1512</v>
      </c>
      <c r="I29" s="2">
        <v>512</v>
      </c>
      <c r="J29" s="2">
        <v>500</v>
      </c>
      <c r="K29" s="2">
        <f>I29+J29</f>
        <v>1012</v>
      </c>
      <c r="L29" s="4">
        <f>48/52.1429</f>
        <v>0.92054718859135187</v>
      </c>
      <c r="M29" s="1">
        <f xml:space="preserve"> K29*SQRT(L29)</f>
        <v>970.96492208148356</v>
      </c>
      <c r="N29" s="4">
        <f>(500*36.3+512*36.9)/(500+512)</f>
        <v>36.603557312252967</v>
      </c>
      <c r="O29" s="4">
        <f>(500*2.44+2.47*512)/(500+512)</f>
        <v>2.4551778656126486</v>
      </c>
      <c r="P29" s="5">
        <v>3</v>
      </c>
      <c r="Q29" s="4">
        <v>10.5</v>
      </c>
      <c r="R29" s="4">
        <v>6.8</v>
      </c>
      <c r="S29" s="4">
        <v>38</v>
      </c>
      <c r="T29" s="1" t="s">
        <v>34</v>
      </c>
      <c r="U29" s="1">
        <v>38</v>
      </c>
      <c r="V29" s="8">
        <v>3.8300000000000001E-2</v>
      </c>
      <c r="W29" s="5">
        <v>1</v>
      </c>
      <c r="X29" s="28" t="s">
        <v>162</v>
      </c>
    </row>
    <row r="30" spans="1:24" ht="90" x14ac:dyDescent="0.25">
      <c r="A30" s="1" t="s">
        <v>93</v>
      </c>
      <c r="B30" s="4" t="s">
        <v>94</v>
      </c>
      <c r="C30" s="5">
        <v>2014</v>
      </c>
      <c r="D30" s="1" t="s">
        <v>37</v>
      </c>
      <c r="E30" s="4" t="s">
        <v>33</v>
      </c>
      <c r="F30" s="5">
        <v>1</v>
      </c>
      <c r="G30" s="6">
        <v>1</v>
      </c>
      <c r="H30" s="2">
        <v>1331</v>
      </c>
      <c r="I30" s="2">
        <v>447</v>
      </c>
      <c r="J30" s="2">
        <v>450</v>
      </c>
      <c r="K30" s="2">
        <f>I30+J30/2</f>
        <v>672</v>
      </c>
      <c r="L30" s="4">
        <v>2</v>
      </c>
      <c r="M30" s="1">
        <f xml:space="preserve"> K30*SQRT(L30)</f>
        <v>950.35151391471993</v>
      </c>
      <c r="N30" s="4">
        <f>(37.5+38.5)/2</f>
        <v>38</v>
      </c>
      <c r="O30" s="4">
        <v>2.5</v>
      </c>
      <c r="P30" s="5">
        <v>3</v>
      </c>
      <c r="Q30" s="4">
        <f>100*60/450</f>
        <v>13.333333333333334</v>
      </c>
      <c r="R30" s="4">
        <f>100*47/447</f>
        <v>10.514541387024609</v>
      </c>
      <c r="S30" s="4">
        <v>26</v>
      </c>
      <c r="T30" s="1" t="s">
        <v>34</v>
      </c>
      <c r="U30" s="4">
        <v>26</v>
      </c>
      <c r="V30" s="8">
        <v>0.13</v>
      </c>
      <c r="W30" s="2">
        <v>0</v>
      </c>
      <c r="X30" s="28" t="s">
        <v>163</v>
      </c>
    </row>
    <row r="31" spans="1:24" ht="90" x14ac:dyDescent="0.25">
      <c r="A31" s="1" t="s">
        <v>95</v>
      </c>
      <c r="B31" s="4" t="s">
        <v>96</v>
      </c>
      <c r="C31" s="5">
        <v>2012</v>
      </c>
      <c r="D31" s="1" t="s">
        <v>97</v>
      </c>
      <c r="E31" s="4" t="s">
        <v>33</v>
      </c>
      <c r="F31" s="5" t="s">
        <v>34</v>
      </c>
      <c r="G31" s="6">
        <v>1</v>
      </c>
      <c r="H31" s="2">
        <v>1106</v>
      </c>
      <c r="I31" s="2">
        <v>550</v>
      </c>
      <c r="J31" s="2">
        <v>556</v>
      </c>
      <c r="K31" s="2">
        <f>I31+J31</f>
        <v>1106</v>
      </c>
      <c r="L31" s="4">
        <v>2</v>
      </c>
      <c r="M31" s="1">
        <f xml:space="preserve"> K31*SQRT(L31)</f>
        <v>1564.1201999846432</v>
      </c>
      <c r="N31" s="4">
        <f>(38.9*550+38.5*556)/(550+556)</f>
        <v>38.698915009041592</v>
      </c>
      <c r="O31" s="4">
        <v>2.6</v>
      </c>
      <c r="P31" s="5">
        <v>3</v>
      </c>
      <c r="Q31" s="4">
        <v>15.7</v>
      </c>
      <c r="R31" s="4">
        <v>11.1</v>
      </c>
      <c r="S31" s="4">
        <v>36</v>
      </c>
      <c r="T31" s="1" t="s">
        <v>34</v>
      </c>
      <c r="U31" s="4">
        <v>36</v>
      </c>
      <c r="V31" s="8">
        <v>0.01</v>
      </c>
      <c r="W31" s="2">
        <v>1</v>
      </c>
      <c r="X31" s="28" t="s">
        <v>164</v>
      </c>
    </row>
    <row r="32" spans="1:24" ht="90" x14ac:dyDescent="0.25">
      <c r="A32" s="1" t="s">
        <v>98</v>
      </c>
      <c r="B32" s="4" t="s">
        <v>94</v>
      </c>
      <c r="C32" s="5">
        <v>2014</v>
      </c>
      <c r="D32" s="1" t="s">
        <v>97</v>
      </c>
      <c r="E32" s="4" t="s">
        <v>33</v>
      </c>
      <c r="F32" s="5" t="s">
        <v>34</v>
      </c>
      <c r="G32" s="6">
        <v>1</v>
      </c>
      <c r="H32" s="2">
        <v>1331</v>
      </c>
      <c r="I32" s="2">
        <v>434</v>
      </c>
      <c r="J32" s="2">
        <v>450</v>
      </c>
      <c r="K32" s="2">
        <f>I32+J32/2</f>
        <v>659</v>
      </c>
      <c r="L32" s="4">
        <v>2</v>
      </c>
      <c r="M32" s="1">
        <f xml:space="preserve"> K32*SQRT(L32)</f>
        <v>931.96673760386966</v>
      </c>
      <c r="N32" s="4">
        <f>(36.7+37.5)/2</f>
        <v>37.1</v>
      </c>
      <c r="O32" s="4">
        <v>2.5</v>
      </c>
      <c r="P32" s="5">
        <v>3</v>
      </c>
      <c r="Q32" s="4">
        <f>100*60/450</f>
        <v>13.333333333333334</v>
      </c>
      <c r="R32" s="4">
        <f>100*42/434</f>
        <v>9.67741935483871</v>
      </c>
      <c r="S32" s="4">
        <v>31</v>
      </c>
      <c r="T32" s="1" t="s">
        <v>34</v>
      </c>
      <c r="U32" s="4">
        <v>31</v>
      </c>
      <c r="V32" s="8">
        <v>6.3E-2</v>
      </c>
      <c r="W32" s="2">
        <v>0</v>
      </c>
      <c r="X32" s="28" t="s">
        <v>163</v>
      </c>
    </row>
    <row r="33" spans="1:24" ht="105" x14ac:dyDescent="0.25">
      <c r="A33" s="1" t="s">
        <v>99</v>
      </c>
      <c r="B33" s="1" t="s">
        <v>100</v>
      </c>
      <c r="C33" s="2">
        <v>2002</v>
      </c>
      <c r="D33" s="1" t="s">
        <v>101</v>
      </c>
      <c r="E33" s="1" t="s">
        <v>33</v>
      </c>
      <c r="F33" s="2">
        <v>2</v>
      </c>
      <c r="G33" s="2" t="s">
        <v>102</v>
      </c>
      <c r="H33" s="2">
        <v>194</v>
      </c>
      <c r="I33" s="2">
        <v>60</v>
      </c>
      <c r="J33" s="2">
        <v>64</v>
      </c>
      <c r="K33" s="2">
        <f t="shared" si="3"/>
        <v>124</v>
      </c>
      <c r="L33" s="1">
        <v>2</v>
      </c>
      <c r="M33" s="1">
        <f t="shared" si="0"/>
        <v>175.36248173426381</v>
      </c>
      <c r="N33" s="1">
        <f>(64*40.02+60*39.94)/(64+60)</f>
        <v>39.981290322580648</v>
      </c>
      <c r="O33" s="1">
        <f>(4.69*64+4.45*60)/(64+60)</f>
        <v>4.5738709677419358</v>
      </c>
      <c r="P33" s="2">
        <v>3</v>
      </c>
      <c r="Q33" s="1">
        <v>22</v>
      </c>
      <c r="R33" s="1">
        <v>8</v>
      </c>
      <c r="S33" s="1">
        <f>(1-R33/Q33)*100</f>
        <v>63.636363636363633</v>
      </c>
      <c r="T33" s="1" t="s">
        <v>34</v>
      </c>
      <c r="U33" s="1">
        <v>63.64</v>
      </c>
      <c r="V33" s="3">
        <v>3.5999999999999997E-2</v>
      </c>
      <c r="W33" s="2">
        <v>1</v>
      </c>
      <c r="X33" s="28" t="s">
        <v>165</v>
      </c>
    </row>
    <row r="34" spans="1:24" ht="90" x14ac:dyDescent="0.25">
      <c r="A34" s="1" t="s">
        <v>103</v>
      </c>
      <c r="B34" s="4" t="s">
        <v>104</v>
      </c>
      <c r="C34" s="5">
        <v>2006</v>
      </c>
      <c r="D34" s="4" t="s">
        <v>105</v>
      </c>
      <c r="E34" s="4" t="s">
        <v>33</v>
      </c>
      <c r="F34" s="5">
        <v>2</v>
      </c>
      <c r="G34" s="6">
        <v>1</v>
      </c>
      <c r="H34" s="2">
        <v>942</v>
      </c>
      <c r="I34" s="2">
        <v>627</v>
      </c>
      <c r="J34" s="2">
        <v>315</v>
      </c>
      <c r="K34" s="2">
        <f t="shared" si="3"/>
        <v>942</v>
      </c>
      <c r="L34" s="4">
        <f>120/52.1429</f>
        <v>2.3013679714783799</v>
      </c>
      <c r="M34" s="1">
        <f t="shared" si="0"/>
        <v>1429.038518950046</v>
      </c>
      <c r="N34" s="4">
        <v>36</v>
      </c>
      <c r="O34" s="4">
        <v>2.2999999999999998</v>
      </c>
      <c r="P34" s="5">
        <v>6</v>
      </c>
      <c r="Q34" s="4" t="s">
        <v>57</v>
      </c>
      <c r="R34" s="4" t="s">
        <v>57</v>
      </c>
      <c r="S34" s="1">
        <v>54</v>
      </c>
      <c r="T34" s="1" t="s">
        <v>34</v>
      </c>
      <c r="U34" s="1">
        <v>54</v>
      </c>
      <c r="V34" s="3" t="s">
        <v>106</v>
      </c>
      <c r="W34" s="2">
        <v>1</v>
      </c>
      <c r="X34" s="28" t="s">
        <v>166</v>
      </c>
    </row>
    <row r="35" spans="1:24" ht="90" x14ac:dyDescent="0.25">
      <c r="A35" s="1" t="s">
        <v>107</v>
      </c>
      <c r="B35" s="4" t="s">
        <v>108</v>
      </c>
      <c r="C35" s="5">
        <v>2006</v>
      </c>
      <c r="D35" s="1" t="s">
        <v>109</v>
      </c>
      <c r="E35" s="4" t="s">
        <v>110</v>
      </c>
      <c r="F35" s="5">
        <v>2</v>
      </c>
      <c r="G35" s="6">
        <v>1</v>
      </c>
      <c r="H35" s="2">
        <v>1171</v>
      </c>
      <c r="I35" s="2">
        <v>589</v>
      </c>
      <c r="J35" s="2">
        <v>582</v>
      </c>
      <c r="K35" s="2">
        <f t="shared" si="3"/>
        <v>1171</v>
      </c>
      <c r="L35" s="4">
        <f>120/52.1429</f>
        <v>2.3013679714783799</v>
      </c>
      <c r="M35" s="1">
        <f t="shared" si="0"/>
        <v>1776.4374795015965</v>
      </c>
      <c r="N35" s="4">
        <v>38.9</v>
      </c>
      <c r="O35" s="4">
        <v>2.4</v>
      </c>
      <c r="P35" s="5">
        <v>3</v>
      </c>
      <c r="Q35" s="4">
        <v>29</v>
      </c>
      <c r="R35" s="4">
        <v>23</v>
      </c>
      <c r="S35" s="4">
        <v>24</v>
      </c>
      <c r="T35" s="1" t="s">
        <v>34</v>
      </c>
      <c r="U35" s="1">
        <v>24</v>
      </c>
      <c r="V35" s="8">
        <v>0.02</v>
      </c>
      <c r="W35" s="2">
        <v>1</v>
      </c>
      <c r="X35" s="28" t="s">
        <v>167</v>
      </c>
    </row>
    <row r="36" spans="1:24" ht="180" x14ac:dyDescent="0.25">
      <c r="A36" s="14" t="s">
        <v>111</v>
      </c>
      <c r="B36" s="15" t="s">
        <v>112</v>
      </c>
      <c r="C36" s="16" t="s">
        <v>113</v>
      </c>
      <c r="D36" s="4" t="s">
        <v>105</v>
      </c>
      <c r="E36" s="15" t="s">
        <v>33</v>
      </c>
      <c r="F36" s="16">
        <v>2</v>
      </c>
      <c r="G36" s="17">
        <v>2</v>
      </c>
      <c r="H36" s="18">
        <v>887</v>
      </c>
      <c r="I36" s="18">
        <v>439</v>
      </c>
      <c r="J36" s="18">
        <v>448</v>
      </c>
      <c r="K36" s="18">
        <f t="shared" si="3"/>
        <v>887</v>
      </c>
      <c r="L36" s="15">
        <f>96/52.1429</f>
        <v>1.8410943771827037</v>
      </c>
      <c r="M36" s="1">
        <f t="shared" si="0"/>
        <v>1203.5430952158126</v>
      </c>
      <c r="N36" s="15">
        <v>47.2</v>
      </c>
      <c r="O36" s="15">
        <v>5.2</v>
      </c>
      <c r="P36" s="16">
        <v>6</v>
      </c>
      <c r="Q36" s="15">
        <v>15</v>
      </c>
      <c r="R36" s="15">
        <v>16</v>
      </c>
      <c r="S36" s="14">
        <f>100*(1-R36/Q36)</f>
        <v>-6.6666666666666652</v>
      </c>
      <c r="T36" s="14" t="s">
        <v>34</v>
      </c>
      <c r="U36" s="14">
        <f>100*(1-R36/Q36)</f>
        <v>-6.6666666666666652</v>
      </c>
      <c r="V36" s="19">
        <v>0.753</v>
      </c>
      <c r="W36" s="18">
        <v>0</v>
      </c>
      <c r="X36" s="28" t="s">
        <v>168</v>
      </c>
    </row>
    <row r="37" spans="1:24" ht="75" x14ac:dyDescent="0.25">
      <c r="A37" s="1" t="s">
        <v>114</v>
      </c>
      <c r="B37" s="1" t="s">
        <v>115</v>
      </c>
      <c r="C37" s="2">
        <v>2016</v>
      </c>
      <c r="D37" s="1" t="s">
        <v>116</v>
      </c>
      <c r="E37" s="1" t="s">
        <v>25</v>
      </c>
      <c r="F37" s="2">
        <v>2</v>
      </c>
      <c r="G37" s="2">
        <v>1</v>
      </c>
      <c r="H37" s="2">
        <v>821</v>
      </c>
      <c r="I37" s="2" t="s">
        <v>34</v>
      </c>
      <c r="J37" s="2" t="s">
        <v>34</v>
      </c>
      <c r="K37" s="2">
        <v>821</v>
      </c>
      <c r="L37" s="1">
        <f>96/52.1429</f>
        <v>1.8410943771827037</v>
      </c>
      <c r="M37" s="1">
        <f t="shared" si="0"/>
        <v>1113.9897194725843</v>
      </c>
      <c r="N37" s="1">
        <f>(410*37.1+411*36.9)/(410+411)</f>
        <v>36.999878197320342</v>
      </c>
      <c r="O37" s="1">
        <f>(410*2.86+2.75*411)/(410+411)</f>
        <v>2.8049330085261874</v>
      </c>
      <c r="P37" s="2">
        <v>3</v>
      </c>
      <c r="Q37" s="1">
        <v>12.2</v>
      </c>
      <c r="R37" s="1">
        <v>7.6</v>
      </c>
      <c r="S37" s="1">
        <v>43</v>
      </c>
      <c r="T37" s="1">
        <f>(-2.030704 *N37)+103.035004</f>
        <v>27.899203345188795</v>
      </c>
      <c r="U37" s="1">
        <f>100*(1-(1-S37/100)*(1-T37/100))</f>
        <v>58.902545906757609</v>
      </c>
      <c r="V37" s="3">
        <v>0.01</v>
      </c>
      <c r="W37" s="2">
        <v>1</v>
      </c>
      <c r="X37" s="28" t="s">
        <v>169</v>
      </c>
    </row>
    <row r="38" spans="1:24" ht="75" x14ac:dyDescent="0.25">
      <c r="A38" s="1" t="s">
        <v>117</v>
      </c>
      <c r="B38" s="1" t="s">
        <v>118</v>
      </c>
      <c r="C38" s="2">
        <v>2016</v>
      </c>
      <c r="D38" s="1" t="s">
        <v>116</v>
      </c>
      <c r="E38" s="1" t="s">
        <v>25</v>
      </c>
      <c r="F38" s="2">
        <v>2</v>
      </c>
      <c r="G38" s="2">
        <v>1</v>
      </c>
      <c r="H38" s="2">
        <v>835</v>
      </c>
      <c r="I38" s="2" t="s">
        <v>34</v>
      </c>
      <c r="J38" s="2" t="s">
        <v>34</v>
      </c>
      <c r="K38" s="2">
        <v>835</v>
      </c>
      <c r="L38" s="1">
        <f>96/52.1429</f>
        <v>1.8410943771827037</v>
      </c>
      <c r="M38" s="1">
        <f t="shared" si="0"/>
        <v>1132.9858900847842</v>
      </c>
      <c r="N38" s="1">
        <f>(417*37.2+418*37.4)/(417+418)</f>
        <v>37.300119760479042</v>
      </c>
      <c r="O38" s="1">
        <f>(417*2.78+418*2.84)/(417+418)</f>
        <v>2.8100359281437126</v>
      </c>
      <c r="P38" s="2">
        <v>3</v>
      </c>
      <c r="Q38" s="1">
        <v>15.1</v>
      </c>
      <c r="R38" s="1">
        <v>10.6</v>
      </c>
      <c r="S38" s="1">
        <v>37</v>
      </c>
      <c r="T38" s="1">
        <f>(-2.030704 *N38)+103.035004</f>
        <v>27.289501601916172</v>
      </c>
      <c r="U38" s="1">
        <f>100*(1-(1-S38/100)*(1-T38/100))</f>
        <v>54.192386009207183</v>
      </c>
      <c r="V38" s="3">
        <v>0.02</v>
      </c>
      <c r="W38" s="2">
        <v>1</v>
      </c>
      <c r="X38" s="28" t="s">
        <v>169</v>
      </c>
    </row>
    <row r="39" spans="1:24" ht="75" x14ac:dyDescent="0.25">
      <c r="A39" s="1" t="s">
        <v>119</v>
      </c>
      <c r="B39" s="1" t="s">
        <v>120</v>
      </c>
      <c r="C39" s="2">
        <v>2016</v>
      </c>
      <c r="D39" s="1" t="s">
        <v>116</v>
      </c>
      <c r="E39" s="1" t="s">
        <v>33</v>
      </c>
      <c r="F39" s="2">
        <v>2</v>
      </c>
      <c r="G39" s="2">
        <v>3</v>
      </c>
      <c r="H39" s="2">
        <v>732</v>
      </c>
      <c r="I39" s="2">
        <v>487</v>
      </c>
      <c r="J39" s="2">
        <v>244</v>
      </c>
      <c r="K39" s="2">
        <f>I39+J39</f>
        <v>731</v>
      </c>
      <c r="L39" s="1">
        <v>2.85</v>
      </c>
      <c r="M39" s="1">
        <f t="shared" si="0"/>
        <v>1234.0700344794052</v>
      </c>
      <c r="N39" s="1">
        <f>(488*44.7+244*44.4)/(488+244)</f>
        <v>44.600000000000009</v>
      </c>
      <c r="O39" s="1">
        <v>4.7</v>
      </c>
      <c r="P39" s="2">
        <v>6</v>
      </c>
      <c r="Q39" s="1">
        <v>35.700000000000003</v>
      </c>
      <c r="R39" s="1">
        <v>29.6</v>
      </c>
      <c r="S39" s="1">
        <v>25</v>
      </c>
      <c r="T39" s="1" t="s">
        <v>34</v>
      </c>
      <c r="U39" s="1">
        <v>25</v>
      </c>
      <c r="V39" s="3">
        <v>0.04</v>
      </c>
      <c r="W39" s="2">
        <v>1</v>
      </c>
      <c r="X39" s="28" t="s">
        <v>170</v>
      </c>
    </row>
    <row r="40" spans="1:24" ht="120" x14ac:dyDescent="0.25">
      <c r="A40" s="1" t="s">
        <v>121</v>
      </c>
      <c r="B40" s="1" t="s">
        <v>122</v>
      </c>
      <c r="C40" s="2">
        <v>2009</v>
      </c>
      <c r="D40" s="1" t="s">
        <v>123</v>
      </c>
      <c r="E40" s="1" t="s">
        <v>33</v>
      </c>
      <c r="F40" s="2" t="s">
        <v>34</v>
      </c>
      <c r="G40" s="2">
        <v>3</v>
      </c>
      <c r="H40" s="2">
        <v>439</v>
      </c>
      <c r="I40" s="2">
        <v>292</v>
      </c>
      <c r="J40" s="2">
        <v>147</v>
      </c>
      <c r="K40" s="2">
        <f>I40+J40</f>
        <v>439</v>
      </c>
      <c r="L40" s="1">
        <f>96/52.1429</f>
        <v>1.8410943771827037</v>
      </c>
      <c r="M40" s="1">
        <f t="shared" si="0"/>
        <v>595.66563562541353</v>
      </c>
      <c r="N40" s="1">
        <v>49.9</v>
      </c>
      <c r="O40" s="1">
        <v>4.8</v>
      </c>
      <c r="P40" s="2">
        <v>3</v>
      </c>
      <c r="Q40" s="14">
        <v>38.5</v>
      </c>
      <c r="R40" s="14">
        <v>30.2</v>
      </c>
      <c r="S40" s="14">
        <v>23</v>
      </c>
      <c r="T40" s="14" t="s">
        <v>34</v>
      </c>
      <c r="U40" s="14">
        <v>23</v>
      </c>
      <c r="V40" s="19">
        <v>0.14419999999999999</v>
      </c>
      <c r="W40" s="18">
        <v>0</v>
      </c>
      <c r="X40" s="28" t="s">
        <v>171</v>
      </c>
    </row>
    <row r="41" spans="1:24" ht="135" x14ac:dyDescent="0.25">
      <c r="A41" s="1" t="s">
        <v>124</v>
      </c>
      <c r="B41" s="4" t="s">
        <v>125</v>
      </c>
      <c r="C41" s="5" t="s">
        <v>113</v>
      </c>
      <c r="D41" s="1" t="s">
        <v>126</v>
      </c>
      <c r="E41" s="4" t="s">
        <v>33</v>
      </c>
      <c r="F41" s="5" t="s">
        <v>34</v>
      </c>
      <c r="G41" s="6">
        <v>2</v>
      </c>
      <c r="H41" s="2">
        <v>1651</v>
      </c>
      <c r="I41" s="2" t="s">
        <v>34</v>
      </c>
      <c r="J41" s="2" t="s">
        <v>34</v>
      </c>
      <c r="K41" s="2">
        <v>1363</v>
      </c>
      <c r="L41" s="4">
        <f>21/12</f>
        <v>1.75</v>
      </c>
      <c r="M41" s="1">
        <f t="shared" si="0"/>
        <v>1803.0795184905185</v>
      </c>
      <c r="N41" s="4">
        <v>48</v>
      </c>
      <c r="O41" s="30">
        <v>5.4</v>
      </c>
      <c r="P41" s="20">
        <v>3</v>
      </c>
      <c r="Q41" s="21" t="s">
        <v>57</v>
      </c>
      <c r="R41" s="21" t="s">
        <v>57</v>
      </c>
      <c r="S41" s="21">
        <v>21</v>
      </c>
      <c r="T41" s="32" t="s">
        <v>34</v>
      </c>
      <c r="U41" s="32">
        <v>21</v>
      </c>
      <c r="V41" s="22">
        <v>1.2999999999999999E-2</v>
      </c>
      <c r="W41" s="23">
        <v>1</v>
      </c>
      <c r="X41" s="28" t="s">
        <v>172</v>
      </c>
    </row>
    <row r="42" spans="1:24" ht="90" x14ac:dyDescent="0.25">
      <c r="A42" s="1" t="s">
        <v>127</v>
      </c>
      <c r="B42" s="4" t="s">
        <v>128</v>
      </c>
      <c r="C42" s="5">
        <v>2011</v>
      </c>
      <c r="D42" s="4" t="s">
        <v>129</v>
      </c>
      <c r="E42" s="4" t="s">
        <v>33</v>
      </c>
      <c r="F42" s="5">
        <v>1</v>
      </c>
      <c r="G42" s="6" t="s">
        <v>130</v>
      </c>
      <c r="H42" s="2">
        <v>1088</v>
      </c>
      <c r="I42" s="2">
        <v>365</v>
      </c>
      <c r="J42" s="2">
        <v>363</v>
      </c>
      <c r="K42" s="2">
        <f>I42+(J42/2)</f>
        <v>546.5</v>
      </c>
      <c r="L42" s="1">
        <f>108/52.1429</f>
        <v>2.0712311743305416</v>
      </c>
      <c r="M42" s="1">
        <f t="shared" si="0"/>
        <v>786.51037043112274</v>
      </c>
      <c r="N42" s="4">
        <f>((363/2)*38.4+366*37.4)/((363/2)+366)</f>
        <v>37.731506849315068</v>
      </c>
      <c r="O42" s="4">
        <v>2.68</v>
      </c>
      <c r="P42" s="5">
        <v>3</v>
      </c>
      <c r="Q42" s="24">
        <v>27.3</v>
      </c>
      <c r="R42" s="24">
        <v>21.7</v>
      </c>
      <c r="S42" s="25">
        <v>23.7</v>
      </c>
      <c r="T42" s="25" t="s">
        <v>34</v>
      </c>
      <c r="U42" s="25">
        <v>23.7</v>
      </c>
      <c r="V42" s="26">
        <v>0.08</v>
      </c>
      <c r="W42" s="27">
        <v>0</v>
      </c>
      <c r="X42" s="28" t="s">
        <v>173</v>
      </c>
    </row>
    <row r="43" spans="1:24" ht="90" x14ac:dyDescent="0.25">
      <c r="A43" s="1" t="s">
        <v>131</v>
      </c>
      <c r="B43" s="4" t="s">
        <v>128</v>
      </c>
      <c r="C43" s="5">
        <v>2011</v>
      </c>
      <c r="D43" s="4" t="s">
        <v>132</v>
      </c>
      <c r="E43" s="4" t="s">
        <v>33</v>
      </c>
      <c r="F43" s="5">
        <v>1</v>
      </c>
      <c r="G43" s="6" t="s">
        <v>130</v>
      </c>
      <c r="H43" s="2">
        <v>1088</v>
      </c>
      <c r="I43" s="2">
        <v>358</v>
      </c>
      <c r="J43" s="2">
        <v>363</v>
      </c>
      <c r="K43" s="2">
        <f>I43+(J43/2)</f>
        <v>539.5</v>
      </c>
      <c r="L43" s="1">
        <f>108/52.1429</f>
        <v>2.0712311743305416</v>
      </c>
      <c r="M43" s="1">
        <f t="shared" si="0"/>
        <v>776.43612963877536</v>
      </c>
      <c r="N43" s="4">
        <f>((363/2)*38.4+359*37.8)/((363/2)+359)</f>
        <v>38.001480111008327</v>
      </c>
      <c r="O43" s="4">
        <f>((363/2)*2.68+359*2.67)/((363/2)+359)</f>
        <v>2.6733580018501391</v>
      </c>
      <c r="P43" s="5">
        <v>3</v>
      </c>
      <c r="Q43" s="4">
        <v>27.3</v>
      </c>
      <c r="R43" s="4">
        <v>20.2</v>
      </c>
      <c r="S43" s="1">
        <v>29.8</v>
      </c>
      <c r="T43" s="1" t="s">
        <v>34</v>
      </c>
      <c r="U43" s="1">
        <v>29.8</v>
      </c>
      <c r="V43" s="3">
        <v>0.03</v>
      </c>
      <c r="W43" s="2">
        <v>1</v>
      </c>
      <c r="X43" s="28" t="s">
        <v>173</v>
      </c>
    </row>
    <row r="44" spans="1:24" ht="120" x14ac:dyDescent="0.25">
      <c r="A44" s="1" t="s">
        <v>133</v>
      </c>
      <c r="B44" s="4" t="s">
        <v>134</v>
      </c>
      <c r="C44" s="5">
        <v>2014</v>
      </c>
      <c r="D44" s="4" t="s">
        <v>135</v>
      </c>
      <c r="E44" s="4" t="s">
        <v>33</v>
      </c>
      <c r="F44" s="5">
        <v>1</v>
      </c>
      <c r="G44" s="6" t="s">
        <v>130</v>
      </c>
      <c r="H44" s="2">
        <v>1169</v>
      </c>
      <c r="I44" s="2">
        <v>407</v>
      </c>
      <c r="J44" s="2">
        <v>388</v>
      </c>
      <c r="K44" s="2">
        <f>I44+(J44/2)</f>
        <v>601</v>
      </c>
      <c r="L44" s="1">
        <f>((389/2)*581+408*556)/(((389/2)+408)*365.25)</f>
        <v>1.5443409703465767</v>
      </c>
      <c r="M44" s="1">
        <f t="shared" si="0"/>
        <v>746.87181151128857</v>
      </c>
      <c r="N44" s="4">
        <f>((389/2)*38.1+408*37.4)/((389/2)+408)</f>
        <v>37.62597510373444</v>
      </c>
      <c r="O44" s="4">
        <f>((389/2)*2.69+408*2.71)/((389/2)+408)</f>
        <v>2.7035435684647307</v>
      </c>
      <c r="P44" s="5">
        <v>3</v>
      </c>
      <c r="Q44" s="4">
        <v>21</v>
      </c>
      <c r="R44" s="4">
        <v>22.2</v>
      </c>
      <c r="S44" s="1">
        <v>5</v>
      </c>
      <c r="T44" s="1" t="s">
        <v>34</v>
      </c>
      <c r="U44" s="1">
        <v>5</v>
      </c>
      <c r="V44" s="3">
        <v>0.76200000000000001</v>
      </c>
      <c r="W44" s="2">
        <v>0</v>
      </c>
      <c r="X44" s="28" t="s">
        <v>174</v>
      </c>
    </row>
    <row r="45" spans="1:24" ht="120" x14ac:dyDescent="0.25">
      <c r="A45" s="1" t="s">
        <v>136</v>
      </c>
      <c r="B45" s="4" t="s">
        <v>134</v>
      </c>
      <c r="C45" s="5">
        <v>2014</v>
      </c>
      <c r="D45" s="4" t="s">
        <v>132</v>
      </c>
      <c r="E45" s="4" t="s">
        <v>33</v>
      </c>
      <c r="F45" s="5">
        <v>1</v>
      </c>
      <c r="G45" s="6" t="s">
        <v>130</v>
      </c>
      <c r="H45" s="2">
        <v>1169</v>
      </c>
      <c r="I45" s="2">
        <v>370</v>
      </c>
      <c r="J45" s="2">
        <v>388</v>
      </c>
      <c r="K45" s="2">
        <f>I45+(J45/2)</f>
        <v>564</v>
      </c>
      <c r="L45" s="1">
        <f>((389/2)*581+372*588)/(((389/2)+372)*365.25)</f>
        <v>1.6032762383911683</v>
      </c>
      <c r="M45" s="1">
        <f t="shared" si="0"/>
        <v>714.13987308319167</v>
      </c>
      <c r="N45" s="4">
        <f>((389/2)*38.1+372*38.2)/((389/2)+372)</f>
        <v>38.165666372462496</v>
      </c>
      <c r="O45" s="4">
        <f>((389/2)*2.69+372*2.71)/((389/2)+372)</f>
        <v>2.7031332744924979</v>
      </c>
      <c r="P45" s="5">
        <v>3</v>
      </c>
      <c r="Q45" s="4">
        <v>21</v>
      </c>
      <c r="R45" s="4">
        <v>15.8</v>
      </c>
      <c r="S45" s="1">
        <v>32</v>
      </c>
      <c r="T45" s="1" t="s">
        <v>34</v>
      </c>
      <c r="U45" s="1">
        <v>32</v>
      </c>
      <c r="V45" s="3">
        <v>4.4200000000000003E-2</v>
      </c>
      <c r="W45" s="2">
        <v>1</v>
      </c>
      <c r="X45" s="28" t="s">
        <v>174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D12495F2E65044BFCBD346A9E8E340" ma:contentTypeVersion="7" ma:contentTypeDescription="Create a new document." ma:contentTypeScope="" ma:versionID="1329f882d9c3a4515cb1cb01cb2207d7">
  <xsd:schema xmlns:xsd="http://www.w3.org/2001/XMLSchema" xmlns:p="http://schemas.microsoft.com/office/2006/metadata/properties" xmlns:ns2="f6c3e294-f48c-4abe-98d6-38ab9c3cec30" targetNamespace="http://schemas.microsoft.com/office/2006/metadata/properties" ma:root="true" ma:fieldsID="ba2afd302ba4d02a604e579e1cd15377" ns2:_="">
    <xsd:import namespace="f6c3e294-f48c-4abe-98d6-38ab9c3cec30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6c3e294-f48c-4abe-98d6-38ab9c3cec30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f6c3e294-f48c-4abe-98d6-38ab9c3cec30">false</IsDeleted>
    <DocumentId xmlns="f6c3e294-f48c-4abe-98d6-38ab9c3cec30">Table 1.XLSX</DocumentId>
    <TitleName xmlns="f6c3e294-f48c-4abe-98d6-38ab9c3cec30">Table 1.XLSX</TitleName>
    <DocumentType xmlns="f6c3e294-f48c-4abe-98d6-38ab9c3cec30">Table</DocumentType>
    <StageName xmlns="f6c3e294-f48c-4abe-98d6-38ab9c3cec30" xsi:nil="true"/>
    <Checked_x0020_Out_x0020_To xmlns="f6c3e294-f48c-4abe-98d6-38ab9c3cec30">
      <UserInfo>
        <DisplayName/>
        <AccountId xsi:nil="true"/>
        <AccountType/>
      </UserInfo>
    </Checked_x0020_Out_x0020_To>
    <FileFormat xmlns="f6c3e294-f48c-4abe-98d6-38ab9c3cec30">XLSX</FileFormat>
  </documentManagement>
</p:properties>
</file>

<file path=customXml/itemProps1.xml><?xml version="1.0" encoding="utf-8"?>
<ds:datastoreItem xmlns:ds="http://schemas.openxmlformats.org/officeDocument/2006/customXml" ds:itemID="{BFA0D02C-0FFC-434C-BC75-421905405698}"/>
</file>

<file path=customXml/itemProps2.xml><?xml version="1.0" encoding="utf-8"?>
<ds:datastoreItem xmlns:ds="http://schemas.openxmlformats.org/officeDocument/2006/customXml" ds:itemID="{AB2BCE59-F241-4E6D-9076-1CB05C27227F}"/>
</file>

<file path=customXml/itemProps3.xml><?xml version="1.0" encoding="utf-8"?>
<ds:datastoreItem xmlns:ds="http://schemas.openxmlformats.org/officeDocument/2006/customXml" ds:itemID="{D8F64EA9-9C3B-4564-A409-1A9BF0B75F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Marie</dc:creator>
  <cp:lastModifiedBy>Weideman, Ann Marie (NIH/NINDS) [F]</cp:lastModifiedBy>
  <dcterms:created xsi:type="dcterms:W3CDTF">2017-05-24T14:45:19Z</dcterms:created>
  <dcterms:modified xsi:type="dcterms:W3CDTF">2017-10-03T15:12:34Z</dcterms:modified>
</cp:coreProperties>
</file>