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E:\Office_PhD Proposal\Dynamic Systems Analysis_REMADE\Deliverables\Task 1\Michigan Manuscript\FIS Journal\"/>
    </mc:Choice>
  </mc:AlternateContent>
  <xr:revisionPtr revIDLastSave="0" documentId="13_ncr:1_{7593CCFB-B08C-4AB0-95CD-F121C5C8CA58}" xr6:coauthVersionLast="47" xr6:coauthVersionMax="47" xr10:uidLastSave="{00000000-0000-0000-0000-000000000000}"/>
  <bookViews>
    <workbookView xWindow="-25320" yWindow="14790" windowWidth="25440" windowHeight="14775" tabRatio="887" activeTab="3" xr2:uid="{9C0CDF3B-B40B-42E4-A176-1998C8C34AF5}"/>
  </bookViews>
  <sheets>
    <sheet name="Virgin Resins_LCIA" sheetId="17" r:id="rId1"/>
    <sheet name="Semi-mfg._LCIA" sheetId="15" r:id="rId2"/>
    <sheet name="EOL_LCIA" sheetId="16" r:id="rId3"/>
    <sheet name="PET_MFA" sheetId="11" r:id="rId4"/>
    <sheet name="PET_Scenario_MFA" sheetId="20" r:id="rId5"/>
    <sheet name="HDPE_MFA" sheetId="5" r:id="rId6"/>
    <sheet name="HDPE_Scenario_MFA" sheetId="21" r:id="rId7"/>
    <sheet name="LDPE_LLDPE_MFA" sheetId="7" r:id="rId8"/>
    <sheet name="LDPE_LLDPE_Scenario_MFA" sheetId="22" r:id="rId9"/>
    <sheet name="PP_MFA" sheetId="6" r:id="rId10"/>
    <sheet name="PP_Scenarios_MFA" sheetId="23" r:id="rId11"/>
    <sheet name="NextCycle Scenario" sheetId="29" r:id="rId12"/>
    <sheet name="Socio-economic Impacts" sheetId="18" r:id="rId13"/>
    <sheet name="NAICS Codes Data_2019" sheetId="19" r:id="rId14"/>
    <sheet name="U.S. Post-consumer Waste Mgmt" sheetId="10" r:id="rId15"/>
    <sheet name="Trade Data" sheetId="1"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7" i="18" l="1"/>
  <c r="L88" i="18"/>
  <c r="AB87" i="18" s="1"/>
  <c r="AB85" i="18"/>
  <c r="AB84" i="18"/>
  <c r="AA84" i="18"/>
  <c r="B26" i="11" l="1"/>
  <c r="B32" i="11"/>
  <c r="B22" i="11"/>
  <c r="B17" i="5"/>
  <c r="B15" i="5"/>
  <c r="B21" i="5"/>
  <c r="B25" i="5"/>
  <c r="B20" i="5"/>
  <c r="B14" i="5"/>
  <c r="H54" i="1"/>
  <c r="F74" i="1" l="1"/>
  <c r="M40" i="19"/>
  <c r="I34" i="19"/>
  <c r="E109" i="19"/>
  <c r="G47" i="19"/>
  <c r="F47" i="19"/>
  <c r="E47" i="19"/>
  <c r="G39" i="19"/>
  <c r="G40" i="19"/>
  <c r="E40" i="19"/>
  <c r="E41" i="19"/>
  <c r="G34" i="19"/>
  <c r="F34" i="19"/>
  <c r="E34" i="19"/>
  <c r="H13" i="19"/>
  <c r="J7" i="29"/>
  <c r="O7" i="29"/>
  <c r="G7" i="29"/>
  <c r="M30" i="16" l="1"/>
  <c r="M29" i="16"/>
  <c r="M28" i="16"/>
  <c r="L30" i="16"/>
  <c r="L29" i="16"/>
  <c r="L28" i="16"/>
  <c r="F30" i="16"/>
  <c r="F29" i="16"/>
  <c r="F28" i="16"/>
  <c r="N14" i="7" l="1"/>
  <c r="B16" i="21" l="1"/>
  <c r="B15" i="21"/>
  <c r="B14" i="21"/>
  <c r="B52" i="11"/>
  <c r="B52" i="20"/>
  <c r="I31" i="20"/>
  <c r="G35" i="6"/>
  <c r="G36" i="6"/>
  <c r="F31" i="7"/>
  <c r="F30" i="7"/>
  <c r="F47" i="5"/>
  <c r="F46" i="5"/>
  <c r="F44" i="5"/>
  <c r="F43" i="5"/>
  <c r="H15" i="29"/>
  <c r="H13" i="29"/>
  <c r="H11" i="29"/>
  <c r="H10" i="29"/>
  <c r="H7" i="29"/>
  <c r="I30" i="11"/>
  <c r="I29" i="11"/>
  <c r="I28" i="11"/>
  <c r="E67" i="19"/>
  <c r="B31" i="19"/>
  <c r="R12" i="20" l="1"/>
  <c r="F15" i="29"/>
  <c r="F11" i="29"/>
  <c r="I11" i="29" s="1"/>
  <c r="F47" i="21" s="1"/>
  <c r="F10" i="29"/>
  <c r="I10" i="29" s="1"/>
  <c r="F46" i="21" s="1"/>
  <c r="F7" i="29"/>
  <c r="I7" i="29" s="1"/>
  <c r="H17" i="29"/>
  <c r="I30" i="20" l="1"/>
  <c r="I15" i="29"/>
  <c r="G36" i="23" s="1"/>
  <c r="F18" i="7" l="1"/>
  <c r="N17" i="5"/>
  <c r="F49" i="5"/>
  <c r="L31" i="16"/>
  <c r="V12" i="11"/>
  <c r="N8" i="7"/>
  <c r="N7" i="7"/>
  <c r="R15" i="11"/>
  <c r="R12" i="11"/>
  <c r="R6" i="11"/>
  <c r="B53" i="11"/>
  <c r="I42" i="11"/>
  <c r="I41" i="11"/>
  <c r="I39" i="11"/>
  <c r="G24" i="6"/>
  <c r="G25" i="6"/>
  <c r="G21" i="6"/>
  <c r="G20" i="6"/>
  <c r="F20" i="7"/>
  <c r="F16" i="7"/>
  <c r="F19" i="7"/>
  <c r="F15" i="7"/>
  <c r="F42" i="18" l="1"/>
  <c r="L40" i="19" l="1"/>
  <c r="K40" i="19"/>
  <c r="F40" i="19"/>
  <c r="E38" i="19"/>
  <c r="G38" i="19" s="1"/>
  <c r="I13" i="19"/>
  <c r="G4" i="18"/>
  <c r="G8" i="18" s="1"/>
  <c r="B33" i="19"/>
  <c r="B32" i="19"/>
  <c r="I40" i="19"/>
  <c r="H40" i="19"/>
  <c r="L41" i="19"/>
  <c r="K41" i="19"/>
  <c r="I41" i="19"/>
  <c r="H41" i="19"/>
  <c r="F37" i="19"/>
  <c r="F36" i="19"/>
  <c r="F35" i="19"/>
  <c r="G35" i="19"/>
  <c r="E59" i="19"/>
  <c r="E55" i="19"/>
  <c r="E65" i="19"/>
  <c r="E68" i="19"/>
  <c r="E36" i="19"/>
  <c r="E35" i="19"/>
  <c r="E73" i="19"/>
  <c r="E74" i="19"/>
  <c r="E72" i="19"/>
  <c r="H65" i="19"/>
  <c r="G65" i="19"/>
  <c r="I66" i="19"/>
  <c r="H66" i="19"/>
  <c r="G66" i="19"/>
  <c r="F66" i="19"/>
  <c r="E66" i="19"/>
  <c r="I65" i="19"/>
  <c r="F65" i="19"/>
  <c r="I59" i="19"/>
  <c r="H59" i="19"/>
  <c r="G59" i="19"/>
  <c r="F59" i="19"/>
  <c r="K22" i="19"/>
  <c r="J22" i="19"/>
  <c r="I22" i="19"/>
  <c r="H22" i="19"/>
  <c r="G22" i="19"/>
  <c r="F22" i="19"/>
  <c r="E22" i="19"/>
  <c r="G49" i="19"/>
  <c r="F49" i="19"/>
  <c r="E49" i="19"/>
  <c r="F48" i="19"/>
  <c r="E48" i="19"/>
  <c r="E79" i="19"/>
  <c r="E82" i="19"/>
  <c r="L34" i="19"/>
  <c r="K34" i="19"/>
  <c r="B29" i="19"/>
  <c r="G10" i="18" l="1"/>
  <c r="G11" i="18"/>
  <c r="G7" i="18"/>
  <c r="F41" i="19"/>
  <c r="I16" i="19"/>
  <c r="I17" i="19"/>
  <c r="I18" i="19"/>
  <c r="I19" i="19"/>
  <c r="I15" i="19"/>
  <c r="I9" i="19"/>
  <c r="I10" i="19"/>
  <c r="I11" i="19"/>
  <c r="I12" i="19"/>
  <c r="I8" i="19"/>
  <c r="I5" i="19"/>
  <c r="I6" i="19"/>
  <c r="I4" i="19"/>
  <c r="W4" i="19"/>
  <c r="H34" i="19" l="1"/>
  <c r="I60" i="19"/>
  <c r="G60" i="19"/>
  <c r="F60" i="19"/>
  <c r="E60" i="19"/>
  <c r="K6" i="19"/>
  <c r="E108" i="19"/>
  <c r="E98" i="19"/>
  <c r="E94" i="19"/>
  <c r="E95" i="19" s="1"/>
  <c r="A75" i="19"/>
  <c r="A76" i="19" s="1"/>
  <c r="H60" i="19"/>
  <c r="K37" i="19" l="1"/>
  <c r="K35" i="19"/>
  <c r="K36" i="19"/>
  <c r="E37" i="19"/>
  <c r="H37" i="19"/>
  <c r="H35" i="19"/>
  <c r="H36" i="19"/>
  <c r="E100" i="19"/>
  <c r="E101" i="19" s="1"/>
  <c r="E102" i="19" s="1"/>
  <c r="I74" i="19" s="1"/>
  <c r="E61" i="19"/>
  <c r="I61" i="19"/>
  <c r="H61" i="19"/>
  <c r="G61" i="19"/>
  <c r="F61" i="19"/>
  <c r="E110" i="19"/>
  <c r="E112" i="19" s="1"/>
  <c r="F55" i="19"/>
  <c r="G55" i="19"/>
  <c r="H55" i="19"/>
  <c r="I55" i="19"/>
  <c r="J19" i="19"/>
  <c r="K19" i="19"/>
  <c r="H19" i="19"/>
  <c r="J18" i="19"/>
  <c r="K18" i="19"/>
  <c r="H18" i="19"/>
  <c r="J17" i="19"/>
  <c r="K17" i="19"/>
  <c r="H17" i="19"/>
  <c r="J16" i="19"/>
  <c r="K16" i="19"/>
  <c r="H16" i="19"/>
  <c r="I4" i="18"/>
  <c r="I7" i="18" s="1"/>
  <c r="I8" i="18" l="1"/>
  <c r="I11" i="18"/>
  <c r="I10" i="18"/>
  <c r="K38" i="19"/>
  <c r="H67" i="19"/>
  <c r="I81" i="19"/>
  <c r="H38" i="19"/>
  <c r="G48" i="19"/>
  <c r="F72" i="19"/>
  <c r="F74" i="19"/>
  <c r="G74" i="19"/>
  <c r="H74" i="19"/>
  <c r="M31" i="16"/>
  <c r="H81" i="19" l="1"/>
  <c r="I67" i="19"/>
  <c r="F67" i="19"/>
  <c r="G67" i="19"/>
  <c r="G81" i="19"/>
  <c r="F81" i="19"/>
  <c r="E81" i="19"/>
  <c r="H80" i="19"/>
  <c r="E80" i="19"/>
  <c r="G80" i="19"/>
  <c r="I80" i="19"/>
  <c r="F80" i="19"/>
  <c r="G73" i="19"/>
  <c r="I73" i="19"/>
  <c r="F73" i="19"/>
  <c r="F75" i="19" s="1"/>
  <c r="I35" i="19" s="1"/>
  <c r="H73" i="19"/>
  <c r="G72" i="19"/>
  <c r="I79" i="19"/>
  <c r="F79" i="19"/>
  <c r="H79" i="19"/>
  <c r="G79" i="19"/>
  <c r="I72" i="19"/>
  <c r="H72" i="19"/>
  <c r="B61" i="20"/>
  <c r="B17" i="23"/>
  <c r="B17" i="22"/>
  <c r="B31" i="21"/>
  <c r="B62" i="20"/>
  <c r="I34" i="11"/>
  <c r="H82" i="19" l="1"/>
  <c r="J35" i="19"/>
  <c r="I75" i="19"/>
  <c r="I37" i="19" s="1"/>
  <c r="G82" i="19"/>
  <c r="G68" i="19"/>
  <c r="H68" i="19"/>
  <c r="F82" i="19"/>
  <c r="L35" i="19" s="1"/>
  <c r="I82" i="19"/>
  <c r="L37" i="19" s="1"/>
  <c r="H75" i="19"/>
  <c r="F68" i="19"/>
  <c r="G75" i="19"/>
  <c r="E75" i="19"/>
  <c r="I68" i="19"/>
  <c r="B63" i="20"/>
  <c r="L36" i="19" l="1"/>
  <c r="M36" i="19" s="1"/>
  <c r="G37" i="19"/>
  <c r="J37" i="19"/>
  <c r="I36" i="19"/>
  <c r="I38" i="19" s="1"/>
  <c r="M34" i="19"/>
  <c r="M37" i="19"/>
  <c r="M35" i="19"/>
  <c r="J34" i="19"/>
  <c r="J36" i="19" l="1"/>
  <c r="L38" i="19"/>
  <c r="M38" i="19" s="1"/>
  <c r="G36" i="19"/>
  <c r="J38" i="19"/>
  <c r="F38" i="19"/>
  <c r="D38" i="19"/>
  <c r="M39" i="19" l="1"/>
  <c r="G42" i="18" s="1"/>
  <c r="J39" i="19"/>
  <c r="H42" i="18" s="1"/>
  <c r="K15" i="19"/>
  <c r="J15" i="19"/>
  <c r="H15" i="19"/>
  <c r="J40" i="19" l="1"/>
  <c r="G54" i="23" l="1"/>
  <c r="G56" i="23" s="1"/>
  <c r="G51" i="23"/>
  <c r="G52" i="23" s="1"/>
  <c r="G43" i="23"/>
  <c r="G45" i="23" s="1"/>
  <c r="G40" i="23"/>
  <c r="G39" i="23"/>
  <c r="G41" i="23" s="1"/>
  <c r="B18" i="23"/>
  <c r="B19" i="23" s="1"/>
  <c r="B8" i="23"/>
  <c r="B4" i="23"/>
  <c r="F57" i="22"/>
  <c r="F49" i="22"/>
  <c r="F51" i="22" s="1"/>
  <c r="F46" i="22"/>
  <c r="F48" i="22" s="1"/>
  <c r="F38" i="22"/>
  <c r="F40" i="22" s="1"/>
  <c r="F35" i="22"/>
  <c r="F37" i="22" s="1"/>
  <c r="B18" i="22"/>
  <c r="B19" i="22" s="1"/>
  <c r="B8" i="22"/>
  <c r="B4" i="22"/>
  <c r="F82" i="21"/>
  <c r="F69" i="21"/>
  <c r="F71" i="21" s="1"/>
  <c r="F65" i="21"/>
  <c r="F67" i="21" s="1"/>
  <c r="F58" i="21"/>
  <c r="F60" i="21" s="1"/>
  <c r="F55" i="21"/>
  <c r="F54" i="21"/>
  <c r="B32" i="21"/>
  <c r="B33" i="21" s="1"/>
  <c r="B24" i="21"/>
  <c r="B17" i="21"/>
  <c r="B8" i="21"/>
  <c r="B4" i="21"/>
  <c r="B10" i="21" s="1"/>
  <c r="I35" i="20"/>
  <c r="I36" i="20"/>
  <c r="V12" i="20"/>
  <c r="B56" i="20"/>
  <c r="B53" i="20" s="1"/>
  <c r="B51" i="20"/>
  <c r="I61" i="20" s="1"/>
  <c r="I47" i="20"/>
  <c r="I49" i="20" s="1"/>
  <c r="B44" i="20"/>
  <c r="I43" i="20"/>
  <c r="I45" i="20" s="1"/>
  <c r="B40" i="20"/>
  <c r="B30" i="20"/>
  <c r="B26" i="20"/>
  <c r="B32" i="20" s="1"/>
  <c r="B20" i="20"/>
  <c r="B16" i="20"/>
  <c r="B8" i="20"/>
  <c r="B4" i="20"/>
  <c r="W5" i="19"/>
  <c r="W9" i="19"/>
  <c r="W10" i="19"/>
  <c r="W11" i="19"/>
  <c r="W12" i="19"/>
  <c r="W8" i="19"/>
  <c r="W6" i="19"/>
  <c r="V4" i="18"/>
  <c r="V11" i="18" s="1"/>
  <c r="T4" i="18"/>
  <c r="R4" i="18"/>
  <c r="P4" i="18"/>
  <c r="G13" i="19"/>
  <c r="F13" i="19"/>
  <c r="E13" i="19"/>
  <c r="K9" i="19"/>
  <c r="K10" i="19"/>
  <c r="K11" i="19"/>
  <c r="K12" i="19"/>
  <c r="K8" i="19"/>
  <c r="K5" i="19"/>
  <c r="K4" i="19"/>
  <c r="Y9" i="19"/>
  <c r="Y10" i="19"/>
  <c r="Y11" i="19"/>
  <c r="Y12" i="19"/>
  <c r="Y8" i="19"/>
  <c r="Y5" i="19"/>
  <c r="Y6" i="19"/>
  <c r="Y4" i="19"/>
  <c r="U13" i="19"/>
  <c r="T13" i="19"/>
  <c r="S13" i="19"/>
  <c r="B10" i="23" l="1"/>
  <c r="G42" i="23"/>
  <c r="G53" i="23"/>
  <c r="B10" i="22"/>
  <c r="F36" i="22"/>
  <c r="F50" i="22"/>
  <c r="F57" i="21"/>
  <c r="N17" i="21"/>
  <c r="F66" i="21"/>
  <c r="O17" i="21"/>
  <c r="T17" i="21"/>
  <c r="F59" i="21"/>
  <c r="F56" i="21"/>
  <c r="B48" i="20"/>
  <c r="I38" i="20"/>
  <c r="B10" i="20"/>
  <c r="B47" i="20"/>
  <c r="B54" i="20"/>
  <c r="B22" i="20"/>
  <c r="B35" i="20" s="1"/>
  <c r="I44" i="20"/>
  <c r="I37" i="20"/>
  <c r="P11" i="18"/>
  <c r="P8" i="18"/>
  <c r="P10" i="18"/>
  <c r="P7" i="18"/>
  <c r="R10" i="18"/>
  <c r="R11" i="18"/>
  <c r="R8" i="18"/>
  <c r="R7" i="18"/>
  <c r="T10" i="18"/>
  <c r="T7" i="18"/>
  <c r="T11" i="18"/>
  <c r="T8" i="18"/>
  <c r="V10" i="18"/>
  <c r="V7" i="18"/>
  <c r="V8" i="18"/>
  <c r="V13" i="19"/>
  <c r="W13" i="19"/>
  <c r="Y13" i="19"/>
  <c r="X13" i="19"/>
  <c r="K13" i="19"/>
  <c r="O16" i="23"/>
  <c r="U16" i="23"/>
  <c r="G44" i="23"/>
  <c r="G55" i="23"/>
  <c r="N16" i="22"/>
  <c r="R16" i="22"/>
  <c r="F39" i="22"/>
  <c r="F47" i="22"/>
  <c r="T20" i="21"/>
  <c r="N20" i="21"/>
  <c r="F70" i="21"/>
  <c r="S12" i="20"/>
  <c r="V15" i="20"/>
  <c r="R15" i="20"/>
  <c r="I48" i="20"/>
  <c r="J13" i="19"/>
  <c r="V12" i="19"/>
  <c r="X9" i="19"/>
  <c r="X10" i="19"/>
  <c r="X11" i="19"/>
  <c r="X12" i="19"/>
  <c r="V9" i="19"/>
  <c r="V10" i="19"/>
  <c r="V11" i="19"/>
  <c r="X8" i="19"/>
  <c r="V8" i="19"/>
  <c r="J9" i="19"/>
  <c r="J10" i="19"/>
  <c r="J11" i="19"/>
  <c r="J12" i="19"/>
  <c r="H9" i="19"/>
  <c r="H10" i="19"/>
  <c r="H11" i="19"/>
  <c r="H12" i="19"/>
  <c r="J8" i="19"/>
  <c r="H8" i="19"/>
  <c r="J6" i="19"/>
  <c r="J5" i="19"/>
  <c r="V5" i="19"/>
  <c r="X5" i="19"/>
  <c r="H5" i="19"/>
  <c r="V6" i="19"/>
  <c r="X6" i="19"/>
  <c r="H6" i="19"/>
  <c r="X4" i="19"/>
  <c r="V4" i="19"/>
  <c r="J4" i="19"/>
  <c r="H4" i="19"/>
  <c r="E4" i="18"/>
  <c r="B16" i="11"/>
  <c r="B30" i="11"/>
  <c r="B36" i="20" l="1"/>
  <c r="E10" i="18"/>
  <c r="L4" i="18"/>
  <c r="E7" i="18"/>
  <c r="E11" i="18"/>
  <c r="F43" i="18"/>
  <c r="E8" i="18"/>
  <c r="B55" i="20"/>
  <c r="S12" i="11"/>
  <c r="G43" i="18" l="1"/>
  <c r="H43" i="18"/>
  <c r="D95" i="1"/>
  <c r="B24" i="5" l="1"/>
  <c r="F8" i="17"/>
  <c r="F7" i="17"/>
  <c r="F6" i="17"/>
  <c r="F5" i="17"/>
  <c r="F4" i="17"/>
  <c r="B18" i="6" l="1"/>
  <c r="B17" i="6"/>
  <c r="B19" i="6" l="1"/>
  <c r="B18" i="7"/>
  <c r="B17" i="7"/>
  <c r="B19" i="7" s="1"/>
  <c r="R16" i="7" s="1"/>
  <c r="O16" i="6" l="1"/>
  <c r="U16" i="6"/>
  <c r="N16" i="7"/>
  <c r="J30" i="16"/>
  <c r="J29" i="16"/>
  <c r="J28" i="16"/>
  <c r="J21" i="16"/>
  <c r="F21" i="16"/>
  <c r="B62" i="11" l="1"/>
  <c r="B61" i="11"/>
  <c r="B32" i="5"/>
  <c r="B31" i="5"/>
  <c r="B33" i="5" l="1"/>
  <c r="N20" i="5" s="1"/>
  <c r="B63" i="11"/>
  <c r="V15" i="11"/>
  <c r="T20" i="5" l="1"/>
  <c r="J10" i="16" l="1"/>
  <c r="I10" i="16"/>
  <c r="E10" i="16"/>
  <c r="D10" i="16"/>
  <c r="G18" i="15" l="1"/>
  <c r="E18" i="15"/>
  <c r="F17" i="15"/>
  <c r="F18" i="15" s="1"/>
  <c r="E17" i="15"/>
  <c r="G12" i="15"/>
  <c r="F12" i="15"/>
  <c r="E12" i="15"/>
  <c r="P11" i="15"/>
  <c r="O11" i="15"/>
  <c r="N11" i="15"/>
  <c r="P8" i="15"/>
  <c r="O8" i="15"/>
  <c r="N8" i="15"/>
  <c r="G7" i="15"/>
  <c r="P7" i="15" s="1"/>
  <c r="F7" i="15"/>
  <c r="E7" i="15"/>
  <c r="N7" i="15" l="1"/>
  <c r="O6" i="15"/>
  <c r="N5" i="15"/>
  <c r="O5" i="15"/>
  <c r="O7" i="15"/>
  <c r="P5" i="15"/>
  <c r="N6" i="15"/>
  <c r="P6" i="15"/>
  <c r="G40" i="6" l="1"/>
  <c r="G39" i="6"/>
  <c r="G37" i="6"/>
  <c r="G38" i="6" s="1"/>
  <c r="E15" i="29" s="1"/>
  <c r="F32" i="7"/>
  <c r="F45" i="5"/>
  <c r="F58" i="5"/>
  <c r="F60" i="5" s="1"/>
  <c r="F50" i="5"/>
  <c r="I44" i="11"/>
  <c r="I35" i="11"/>
  <c r="I32" i="11"/>
  <c r="I40" i="11" s="1"/>
  <c r="D97" i="1"/>
  <c r="D99" i="1" s="1"/>
  <c r="G15" i="29" l="1"/>
  <c r="J15" i="29"/>
  <c r="M15" i="29"/>
  <c r="L15" i="29"/>
  <c r="G41" i="6"/>
  <c r="G49" i="6"/>
  <c r="F33" i="7"/>
  <c r="E13" i="29" s="1"/>
  <c r="F59" i="5"/>
  <c r="I43" i="11"/>
  <c r="G42" i="6"/>
  <c r="I36" i="11"/>
  <c r="I37" i="11"/>
  <c r="G35" i="23" l="1"/>
  <c r="O15" i="29"/>
  <c r="G63" i="6"/>
  <c r="G61" i="6"/>
  <c r="G49" i="23" l="1"/>
  <c r="F52" i="5"/>
  <c r="E10" i="29" s="1"/>
  <c r="B56" i="11"/>
  <c r="B51" i="11"/>
  <c r="I60" i="11" s="1"/>
  <c r="L10" i="29" l="1"/>
  <c r="J10" i="29"/>
  <c r="G10" i="29"/>
  <c r="M10" i="29"/>
  <c r="G61" i="23"/>
  <c r="G63" i="23"/>
  <c r="F45" i="21"/>
  <c r="B54" i="11"/>
  <c r="G64" i="6"/>
  <c r="G69" i="6"/>
  <c r="F57" i="7"/>
  <c r="F82" i="5"/>
  <c r="F43" i="21" l="1"/>
  <c r="O10" i="29"/>
  <c r="G69" i="23"/>
  <c r="F64" i="21"/>
  <c r="F77" i="21"/>
  <c r="G47" i="23"/>
  <c r="G64" i="23"/>
  <c r="G67" i="23" s="1"/>
  <c r="G37" i="23"/>
  <c r="G48" i="23" s="1"/>
  <c r="G60" i="23" s="1"/>
  <c r="G66" i="6"/>
  <c r="G65" i="6"/>
  <c r="B55" i="11"/>
  <c r="G67" i="6"/>
  <c r="F44" i="7"/>
  <c r="F13" i="29" s="1"/>
  <c r="G54" i="6"/>
  <c r="G51" i="6"/>
  <c r="G43" i="6"/>
  <c r="F17" i="29" l="1"/>
  <c r="I13" i="29"/>
  <c r="G13" i="29"/>
  <c r="P14" i="6"/>
  <c r="U14" i="6"/>
  <c r="O14" i="7"/>
  <c r="G38" i="23"/>
  <c r="F78" i="21"/>
  <c r="O18" i="21" s="1"/>
  <c r="G59" i="23"/>
  <c r="G46" i="23"/>
  <c r="G58" i="23" s="1"/>
  <c r="O14" i="23"/>
  <c r="U14" i="23"/>
  <c r="P14" i="23"/>
  <c r="G71" i="23"/>
  <c r="G66" i="23"/>
  <c r="G65" i="23"/>
  <c r="R14" i="7"/>
  <c r="G71" i="6"/>
  <c r="O14" i="6"/>
  <c r="G44" i="6"/>
  <c r="G47" i="6" s="1"/>
  <c r="G45" i="6"/>
  <c r="G48" i="6" s="1"/>
  <c r="G55" i="6"/>
  <c r="G56" i="6"/>
  <c r="G53" i="6"/>
  <c r="G52" i="6"/>
  <c r="B8" i="6"/>
  <c r="B4" i="6"/>
  <c r="F38" i="7"/>
  <c r="F35" i="7"/>
  <c r="B8" i="7"/>
  <c r="B4" i="7"/>
  <c r="F31" i="22" l="1"/>
  <c r="I17" i="29"/>
  <c r="J13" i="29"/>
  <c r="M13" i="29"/>
  <c r="L13" i="29"/>
  <c r="F30" i="22" s="1"/>
  <c r="O13" i="29"/>
  <c r="N18" i="21"/>
  <c r="F81" i="21"/>
  <c r="T18" i="21"/>
  <c r="G72" i="23"/>
  <c r="G76" i="23" s="1"/>
  <c r="G3" i="23" s="1"/>
  <c r="F49" i="21"/>
  <c r="F52" i="21" s="1"/>
  <c r="F79" i="21"/>
  <c r="F80" i="21"/>
  <c r="F40" i="7"/>
  <c r="F39" i="7"/>
  <c r="F37" i="7"/>
  <c r="F36" i="7"/>
  <c r="G60" i="6"/>
  <c r="G59" i="6"/>
  <c r="G46" i="6"/>
  <c r="G58" i="6" s="1"/>
  <c r="B10" i="6"/>
  <c r="G3" i="6" s="1"/>
  <c r="B10" i="7"/>
  <c r="P12" i="6" l="1"/>
  <c r="O12" i="6"/>
  <c r="U12" i="6"/>
  <c r="O13" i="6"/>
  <c r="P13" i="6"/>
  <c r="U13" i="6"/>
  <c r="G16" i="23"/>
  <c r="O3" i="23"/>
  <c r="O19" i="23" s="1"/>
  <c r="G10" i="23"/>
  <c r="U3" i="23"/>
  <c r="U19" i="23" s="1"/>
  <c r="G12" i="23"/>
  <c r="G8" i="23"/>
  <c r="U3" i="6"/>
  <c r="O3" i="6"/>
  <c r="F42" i="7"/>
  <c r="F43" i="7"/>
  <c r="J75" i="18"/>
  <c r="J97" i="18"/>
  <c r="J86" i="18"/>
  <c r="G77" i="23"/>
  <c r="G14" i="23" s="1"/>
  <c r="G78" i="23"/>
  <c r="G5" i="23" s="1"/>
  <c r="G74" i="23"/>
  <c r="G73" i="23"/>
  <c r="F3" i="7"/>
  <c r="F41" i="7"/>
  <c r="G14" i="6"/>
  <c r="G12" i="6"/>
  <c r="G10" i="6"/>
  <c r="G8" i="6"/>
  <c r="G16" i="6"/>
  <c r="G5" i="6"/>
  <c r="B20" i="21" l="1"/>
  <c r="B21" i="21" s="1"/>
  <c r="B25" i="21" s="1"/>
  <c r="F83" i="21" s="1"/>
  <c r="F85" i="21" s="1"/>
  <c r="F86" i="21" s="1"/>
  <c r="F88" i="21" s="1"/>
  <c r="B18" i="21"/>
  <c r="G17" i="23"/>
  <c r="P10" i="23" s="1"/>
  <c r="G7" i="23"/>
  <c r="G9" i="23"/>
  <c r="O6" i="23" s="1"/>
  <c r="G11" i="23"/>
  <c r="U7" i="23" s="1"/>
  <c r="G13" i="23"/>
  <c r="U8" i="23" s="1"/>
  <c r="F8" i="7"/>
  <c r="F5" i="7"/>
  <c r="R6" i="7"/>
  <c r="N6" i="7"/>
  <c r="F10" i="7"/>
  <c r="F11" i="7" s="1"/>
  <c r="R10" i="7" s="1"/>
  <c r="F12" i="7"/>
  <c r="F13" i="7" s="1"/>
  <c r="G6" i="23"/>
  <c r="U4" i="23" s="1"/>
  <c r="G15" i="23"/>
  <c r="U9" i="23" s="1"/>
  <c r="F44" i="22"/>
  <c r="G11" i="6"/>
  <c r="O7" i="6" s="1"/>
  <c r="G13" i="6"/>
  <c r="O8" i="6" s="1"/>
  <c r="F7" i="7"/>
  <c r="G17" i="6"/>
  <c r="G15" i="6"/>
  <c r="G6" i="6"/>
  <c r="O4" i="6" s="1"/>
  <c r="G7" i="6"/>
  <c r="G9" i="6"/>
  <c r="F6" i="7"/>
  <c r="F9" i="7"/>
  <c r="B22" i="21" l="1"/>
  <c r="B26" i="21" s="1"/>
  <c r="F87" i="21"/>
  <c r="F90" i="21"/>
  <c r="F23" i="21" s="1"/>
  <c r="P6" i="23"/>
  <c r="U6" i="23"/>
  <c r="U5" i="23" s="1"/>
  <c r="P8" i="23"/>
  <c r="O8" i="23"/>
  <c r="O7" i="23"/>
  <c r="O10" i="23"/>
  <c r="P7" i="23"/>
  <c r="U10" i="23"/>
  <c r="U8" i="6"/>
  <c r="P8" i="6"/>
  <c r="U9" i="6"/>
  <c r="P9" i="6"/>
  <c r="U4" i="6"/>
  <c r="U7" i="6"/>
  <c r="U10" i="6"/>
  <c r="P4" i="6"/>
  <c r="P7" i="6"/>
  <c r="P10" i="6"/>
  <c r="U6" i="6"/>
  <c r="P6" i="6"/>
  <c r="P5" i="6" s="1"/>
  <c r="N10" i="7"/>
  <c r="O11" i="7"/>
  <c r="O10" i="7"/>
  <c r="O7" i="7"/>
  <c r="O9" i="7"/>
  <c r="P9" i="23"/>
  <c r="O9" i="23"/>
  <c r="P4" i="23"/>
  <c r="G19" i="23"/>
  <c r="O4" i="23"/>
  <c r="N14" i="22"/>
  <c r="O14" i="22"/>
  <c r="R14" i="22"/>
  <c r="O6" i="6"/>
  <c r="O5" i="6" s="1"/>
  <c r="F14" i="7"/>
  <c r="R9" i="7"/>
  <c r="R8" i="7" s="1"/>
  <c r="R11" i="7"/>
  <c r="R7" i="7"/>
  <c r="O10" i="6"/>
  <c r="G19" i="6"/>
  <c r="O9" i="6"/>
  <c r="N11" i="7"/>
  <c r="N9" i="7"/>
  <c r="F93" i="21" l="1"/>
  <c r="F92" i="21"/>
  <c r="F20" i="21"/>
  <c r="F14" i="21"/>
  <c r="F94" i="21"/>
  <c r="F91" i="21"/>
  <c r="F6" i="21" s="1"/>
  <c r="F11" i="21"/>
  <c r="F17" i="21"/>
  <c r="O5" i="23"/>
  <c r="G21" i="23"/>
  <c r="G20" i="23"/>
  <c r="P5" i="23"/>
  <c r="U5" i="6"/>
  <c r="O8" i="7"/>
  <c r="G22" i="23"/>
  <c r="F32" i="22"/>
  <c r="F43" i="22" s="1"/>
  <c r="F55" i="22" s="1"/>
  <c r="F42" i="22"/>
  <c r="F54" i="22" s="1"/>
  <c r="G22" i="6"/>
  <c r="F17" i="7"/>
  <c r="F9" i="21" l="1"/>
  <c r="G24" i="23"/>
  <c r="U12" i="23" s="1"/>
  <c r="G25" i="23"/>
  <c r="P13" i="23" s="1"/>
  <c r="G23" i="6"/>
  <c r="G25" i="18"/>
  <c r="I85" i="18" s="1"/>
  <c r="G33" i="18"/>
  <c r="I96" i="18" s="1"/>
  <c r="G18" i="18"/>
  <c r="I74" i="18" s="1"/>
  <c r="E18" i="18"/>
  <c r="E33" i="18"/>
  <c r="E25" i="18"/>
  <c r="I84" i="18" s="1"/>
  <c r="G32" i="18"/>
  <c r="G24" i="18"/>
  <c r="G85" i="18" s="1"/>
  <c r="G17" i="18"/>
  <c r="G74" i="18" s="1"/>
  <c r="E24" i="18"/>
  <c r="G84" i="18" s="1"/>
  <c r="E17" i="18"/>
  <c r="E32" i="18"/>
  <c r="H33" i="18"/>
  <c r="J96" i="18" s="1"/>
  <c r="F33" i="18"/>
  <c r="J95" i="18" s="1"/>
  <c r="H25" i="18"/>
  <c r="J85" i="18" s="1"/>
  <c r="F25" i="18"/>
  <c r="J84" i="18" s="1"/>
  <c r="G23" i="23"/>
  <c r="F18" i="18"/>
  <c r="H18" i="18"/>
  <c r="J74" i="18" s="1"/>
  <c r="F33" i="22"/>
  <c r="U15" i="6"/>
  <c r="F65" i="5"/>
  <c r="F53" i="5"/>
  <c r="E11" i="29" s="1"/>
  <c r="F48" i="5"/>
  <c r="B8" i="5"/>
  <c r="B4" i="5"/>
  <c r="J88" i="18" l="1"/>
  <c r="G96" i="18"/>
  <c r="G11" i="29"/>
  <c r="M11" i="29"/>
  <c r="L11" i="29"/>
  <c r="J11" i="29"/>
  <c r="U13" i="23"/>
  <c r="O13" i="23"/>
  <c r="O12" i="23"/>
  <c r="P12" i="23"/>
  <c r="I88" i="18"/>
  <c r="I95" i="18"/>
  <c r="I73" i="18"/>
  <c r="U17" i="6"/>
  <c r="U18" i="6" s="1"/>
  <c r="O15" i="6"/>
  <c r="P15" i="6"/>
  <c r="W18" i="18"/>
  <c r="V75" i="18" s="1"/>
  <c r="W33" i="18"/>
  <c r="V97" i="18" s="1"/>
  <c r="U18" i="18"/>
  <c r="U25" i="18"/>
  <c r="U33" i="18"/>
  <c r="W25" i="18"/>
  <c r="V86" i="18" s="1"/>
  <c r="G88" i="18"/>
  <c r="G95" i="18"/>
  <c r="G73" i="18"/>
  <c r="N15" i="7"/>
  <c r="R15" i="7"/>
  <c r="I32" i="18"/>
  <c r="K32" i="18" s="1"/>
  <c r="I24" i="18"/>
  <c r="O15" i="7"/>
  <c r="I17" i="18"/>
  <c r="K17" i="18" s="1"/>
  <c r="X33" i="18"/>
  <c r="W97" i="18" s="1"/>
  <c r="V33" i="18"/>
  <c r="V25" i="18"/>
  <c r="X25" i="18"/>
  <c r="W86" i="18" s="1"/>
  <c r="J98" i="18"/>
  <c r="J99" i="18"/>
  <c r="J73" i="18"/>
  <c r="J87" i="18"/>
  <c r="P15" i="23"/>
  <c r="U15" i="23"/>
  <c r="O15" i="23"/>
  <c r="V18" i="18"/>
  <c r="X18" i="18"/>
  <c r="W75" i="18" s="1"/>
  <c r="F41" i="22"/>
  <c r="F53" i="22" s="1"/>
  <c r="B10" i="5"/>
  <c r="F67" i="5"/>
  <c r="F66" i="5"/>
  <c r="B44" i="11"/>
  <c r="B40" i="11"/>
  <c r="B20" i="11"/>
  <c r="B4" i="11"/>
  <c r="B8" i="11"/>
  <c r="I77" i="18" l="1"/>
  <c r="I99" i="18"/>
  <c r="O11" i="29"/>
  <c r="F44" i="21"/>
  <c r="G99" i="18"/>
  <c r="G77" i="18"/>
  <c r="O17" i="6"/>
  <c r="U26" i="6"/>
  <c r="U28" i="6"/>
  <c r="U27" i="6"/>
  <c r="Q18" i="18"/>
  <c r="S18" i="18"/>
  <c r="V74" i="18" s="1"/>
  <c r="S25" i="18"/>
  <c r="V85" i="18" s="1"/>
  <c r="S33" i="18"/>
  <c r="V96" i="18" s="1"/>
  <c r="Q25" i="18"/>
  <c r="Q33" i="18"/>
  <c r="I33" i="18"/>
  <c r="K33" i="18" s="1"/>
  <c r="I25" i="18"/>
  <c r="K25" i="18" s="1"/>
  <c r="I18" i="18"/>
  <c r="K18" i="18" s="1"/>
  <c r="R33" i="18"/>
  <c r="T33" i="18"/>
  <c r="W96" i="18" s="1"/>
  <c r="T25" i="18"/>
  <c r="W85" i="18" s="1"/>
  <c r="R25" i="18"/>
  <c r="B35" i="11"/>
  <c r="I8" i="11" s="1"/>
  <c r="B36" i="11"/>
  <c r="I5" i="11" s="1"/>
  <c r="J77" i="18"/>
  <c r="J76" i="18"/>
  <c r="J33" i="18"/>
  <c r="J25" i="18"/>
  <c r="J18" i="18"/>
  <c r="L18" i="18" s="1"/>
  <c r="U17" i="23"/>
  <c r="T18" i="18"/>
  <c r="W74" i="18" s="1"/>
  <c r="R18" i="18"/>
  <c r="O17" i="23"/>
  <c r="F3" i="5"/>
  <c r="N6" i="5" s="1"/>
  <c r="T6" i="5"/>
  <c r="B10" i="11"/>
  <c r="B47" i="11"/>
  <c r="B48" i="11"/>
  <c r="H93" i="1"/>
  <c r="H90" i="1"/>
  <c r="H57" i="1"/>
  <c r="F59" i="1"/>
  <c r="H55" i="1"/>
  <c r="H56" i="1"/>
  <c r="H58" i="1"/>
  <c r="U18" i="23" l="1"/>
  <c r="U20" i="23"/>
  <c r="O18" i="23"/>
  <c r="O20" i="23"/>
  <c r="V73" i="18"/>
  <c r="Y18" i="18"/>
  <c r="Y33" i="18"/>
  <c r="V95" i="18"/>
  <c r="V84" i="18"/>
  <c r="Y25" i="18"/>
  <c r="F5" i="5"/>
  <c r="W84" i="18"/>
  <c r="Z25" i="18"/>
  <c r="W95" i="18"/>
  <c r="Z33" i="18"/>
  <c r="W73" i="18"/>
  <c r="Z18" i="18"/>
  <c r="F10" i="5"/>
  <c r="I3" i="11"/>
  <c r="O18" i="6"/>
  <c r="H59" i="1"/>
  <c r="D59" i="1"/>
  <c r="F83" i="1"/>
  <c r="F85" i="1" s="1"/>
  <c r="D83" i="1"/>
  <c r="H77" i="1"/>
  <c r="H78" i="1"/>
  <c r="H79" i="1"/>
  <c r="H80" i="1"/>
  <c r="H81" i="1"/>
  <c r="H82" i="1"/>
  <c r="H76" i="1"/>
  <c r="I20" i="20" l="1"/>
  <c r="I19" i="11"/>
  <c r="F87" i="1"/>
  <c r="U30" i="23"/>
  <c r="U29" i="23"/>
  <c r="U28" i="23"/>
  <c r="O27" i="23"/>
  <c r="O26" i="23"/>
  <c r="V76" i="18"/>
  <c r="V98" i="18"/>
  <c r="V87" i="18"/>
  <c r="W98" i="18"/>
  <c r="W87" i="18"/>
  <c r="W76" i="18"/>
  <c r="F50" i="21"/>
  <c r="F48" i="21" s="1"/>
  <c r="F63" i="21" s="1"/>
  <c r="F75" i="21" s="1"/>
  <c r="F42" i="21"/>
  <c r="V6" i="11"/>
  <c r="O25" i="6"/>
  <c r="O24" i="6"/>
  <c r="H83" i="1"/>
  <c r="D74" i="1"/>
  <c r="D85" i="1" s="1"/>
  <c r="H68" i="1"/>
  <c r="H69" i="1"/>
  <c r="H71" i="1"/>
  <c r="H72" i="1"/>
  <c r="H73" i="1"/>
  <c r="I21" i="20" l="1"/>
  <c r="D87" i="1"/>
  <c r="H87" i="1" s="1"/>
  <c r="I20" i="11"/>
  <c r="I21" i="11" s="1"/>
  <c r="I22" i="20"/>
  <c r="F53" i="21"/>
  <c r="F51" i="21"/>
  <c r="F61" i="21" s="1"/>
  <c r="F73" i="21" s="1"/>
  <c r="F62" i="21"/>
  <c r="F74" i="21" s="1"/>
  <c r="H70" i="1"/>
  <c r="H74" i="1" s="1"/>
  <c r="H85" i="1" s="1"/>
  <c r="F55" i="5" l="1"/>
  <c r="O17" i="5" s="1"/>
  <c r="I46" i="11"/>
  <c r="P19" i="10"/>
  <c r="F49" i="7"/>
  <c r="F46" i="7"/>
  <c r="F53" i="7" s="1"/>
  <c r="K8" i="10"/>
  <c r="F42" i="5"/>
  <c r="F22" i="5"/>
  <c r="F19" i="5"/>
  <c r="F16" i="5"/>
  <c r="F13" i="5"/>
  <c r="F8" i="5" l="1"/>
  <c r="T17" i="5"/>
  <c r="F64" i="5"/>
  <c r="F48" i="7"/>
  <c r="F47" i="7"/>
  <c r="F50" i="7"/>
  <c r="F51" i="7"/>
  <c r="F51" i="5"/>
  <c r="I48" i="11"/>
  <c r="I47" i="11"/>
  <c r="F77" i="5"/>
  <c r="I51" i="11" l="1"/>
  <c r="I52" i="11"/>
  <c r="F54" i="7"/>
  <c r="F55" i="7"/>
  <c r="F78" i="5"/>
  <c r="F81" i="5" s="1"/>
  <c r="R13" i="7" l="1"/>
  <c r="O13" i="7"/>
  <c r="N13" i="7"/>
  <c r="N12" i="7"/>
  <c r="N17" i="7" s="1"/>
  <c r="R12" i="7"/>
  <c r="R17" i="7" s="1"/>
  <c r="R18" i="7" s="1"/>
  <c r="O12" i="7"/>
  <c r="S24" i="18" s="1"/>
  <c r="T85" i="18" s="1"/>
  <c r="N18" i="5"/>
  <c r="W32" i="18"/>
  <c r="T97" i="18" s="1"/>
  <c r="W17" i="18"/>
  <c r="T75" i="18" s="1"/>
  <c r="U17" i="18"/>
  <c r="U24" i="18"/>
  <c r="U32" i="18"/>
  <c r="W24" i="18"/>
  <c r="T86" i="18" s="1"/>
  <c r="Q17" i="18"/>
  <c r="S17" i="18"/>
  <c r="T74" i="18" s="1"/>
  <c r="Q24" i="18"/>
  <c r="S32" i="18"/>
  <c r="T96" i="18" s="1"/>
  <c r="O18" i="5"/>
  <c r="T18" i="5"/>
  <c r="F80" i="5"/>
  <c r="F79" i="5"/>
  <c r="I53" i="10"/>
  <c r="I52" i="10"/>
  <c r="H52" i="10" s="1"/>
  <c r="I51" i="10"/>
  <c r="P49" i="10"/>
  <c r="O49" i="10"/>
  <c r="M49" i="10"/>
  <c r="P48" i="10"/>
  <c r="O48" i="10"/>
  <c r="M48" i="10"/>
  <c r="I48" i="10"/>
  <c r="H48" i="10" s="1"/>
  <c r="P47" i="10"/>
  <c r="O47" i="10"/>
  <c r="M47" i="10"/>
  <c r="I47" i="10"/>
  <c r="H47" i="10"/>
  <c r="G47" i="10"/>
  <c r="P46" i="10"/>
  <c r="O46" i="10"/>
  <c r="M46" i="10"/>
  <c r="I46" i="10"/>
  <c r="I43" i="10"/>
  <c r="H43" i="10" s="1"/>
  <c r="I41" i="10"/>
  <c r="H41" i="10"/>
  <c r="G41" i="10"/>
  <c r="I39" i="10"/>
  <c r="G39" i="10" s="1"/>
  <c r="I38" i="10"/>
  <c r="H51" i="10" s="1"/>
  <c r="I34" i="10"/>
  <c r="I33" i="10"/>
  <c r="G34" i="10" s="1"/>
  <c r="G35" i="10" s="1"/>
  <c r="M25" i="10"/>
  <c r="L25" i="10"/>
  <c r="K25" i="10"/>
  <c r="M24" i="10"/>
  <c r="L24" i="10"/>
  <c r="K24" i="10"/>
  <c r="M23" i="10"/>
  <c r="L23" i="10"/>
  <c r="K23" i="10"/>
  <c r="M22" i="10"/>
  <c r="L22" i="10"/>
  <c r="K22" i="10"/>
  <c r="M21" i="10"/>
  <c r="L21" i="10"/>
  <c r="K21" i="10"/>
  <c r="M20" i="10"/>
  <c r="L20" i="10"/>
  <c r="K20" i="10"/>
  <c r="M19" i="10"/>
  <c r="L19" i="10"/>
  <c r="K19" i="10"/>
  <c r="M18" i="10"/>
  <c r="L18" i="10"/>
  <c r="K18" i="10"/>
  <c r="M17" i="10"/>
  <c r="L17" i="10"/>
  <c r="K17" i="10"/>
  <c r="M16" i="10"/>
  <c r="L16" i="10"/>
  <c r="K16" i="10"/>
  <c r="M15" i="10"/>
  <c r="L15" i="10"/>
  <c r="K15" i="10"/>
  <c r="M14" i="10"/>
  <c r="L14" i="10"/>
  <c r="K14" i="10"/>
  <c r="M13" i="10"/>
  <c r="L13" i="10"/>
  <c r="K13" i="10"/>
  <c r="M12" i="10"/>
  <c r="L12" i="10"/>
  <c r="K12" i="10"/>
  <c r="M11" i="10"/>
  <c r="L11" i="10"/>
  <c r="K11" i="10"/>
  <c r="O10" i="10"/>
  <c r="N10" i="10"/>
  <c r="M10" i="10"/>
  <c r="L10" i="10"/>
  <c r="K10" i="10"/>
  <c r="O9" i="10"/>
  <c r="N9" i="10"/>
  <c r="M9" i="10"/>
  <c r="L9" i="10"/>
  <c r="K9" i="10"/>
  <c r="O8" i="10"/>
  <c r="N8" i="10"/>
  <c r="M8" i="10"/>
  <c r="L8" i="10"/>
  <c r="O7" i="10"/>
  <c r="N7" i="10"/>
  <c r="M7" i="10"/>
  <c r="L7" i="10"/>
  <c r="K7" i="10"/>
  <c r="O6" i="10"/>
  <c r="N6" i="10"/>
  <c r="M6" i="10"/>
  <c r="L6" i="10"/>
  <c r="K6" i="10"/>
  <c r="Q32" i="18" l="1"/>
  <c r="N18" i="7"/>
  <c r="T73" i="18"/>
  <c r="Y17" i="18"/>
  <c r="R26" i="7"/>
  <c r="R25" i="7"/>
  <c r="R27" i="7"/>
  <c r="T84" i="18"/>
  <c r="Y24" i="18"/>
  <c r="T95" i="18"/>
  <c r="Y32" i="18"/>
  <c r="B16" i="5"/>
  <c r="B18" i="5"/>
  <c r="B22" i="5" s="1"/>
  <c r="B26" i="5" s="1"/>
  <c r="F54" i="5"/>
  <c r="F69" i="5"/>
  <c r="G48" i="10"/>
  <c r="H34" i="10"/>
  <c r="H35" i="10" s="1"/>
  <c r="G51" i="10"/>
  <c r="G52" i="10"/>
  <c r="G46" i="10"/>
  <c r="H46" i="10"/>
  <c r="G43" i="10"/>
  <c r="G44" i="10" s="1"/>
  <c r="G53" i="10"/>
  <c r="G54" i="10" s="1"/>
  <c r="H53" i="10"/>
  <c r="H54" i="10" s="1"/>
  <c r="H39" i="10"/>
  <c r="H44" i="10" s="1"/>
  <c r="F83" i="5" l="1"/>
  <c r="T98" i="18"/>
  <c r="T87" i="18"/>
  <c r="T76" i="18"/>
  <c r="N24" i="7"/>
  <c r="N25" i="7"/>
  <c r="F57" i="5"/>
  <c r="F63" i="5" s="1"/>
  <c r="F56" i="5"/>
  <c r="F62" i="5" s="1"/>
  <c r="F61" i="5"/>
  <c r="F71" i="5"/>
  <c r="F70" i="5"/>
  <c r="F58" i="7" l="1"/>
  <c r="F60" i="7" s="1"/>
  <c r="F58" i="22"/>
  <c r="F60" i="22" s="1"/>
  <c r="F61" i="22" s="1"/>
  <c r="F85" i="5"/>
  <c r="F86" i="5" s="1"/>
  <c r="F75" i="5"/>
  <c r="F74" i="5"/>
  <c r="F73" i="5"/>
  <c r="F52" i="1"/>
  <c r="F61" i="1" s="1"/>
  <c r="D52" i="1"/>
  <c r="D61" i="1" s="1"/>
  <c r="F32" i="1"/>
  <c r="D32" i="1"/>
  <c r="G26" i="23" l="1"/>
  <c r="G26" i="6"/>
  <c r="F62" i="1"/>
  <c r="G27" i="23"/>
  <c r="G30" i="23" s="1"/>
  <c r="G27" i="6"/>
  <c r="G30" i="6" s="1"/>
  <c r="D62" i="1"/>
  <c r="F33" i="21"/>
  <c r="F33" i="5"/>
  <c r="F33" i="1"/>
  <c r="F34" i="21"/>
  <c r="F37" i="21" s="1"/>
  <c r="F34" i="5"/>
  <c r="F37" i="5" s="1"/>
  <c r="D33" i="1"/>
  <c r="F65" i="22"/>
  <c r="F3" i="22" s="1"/>
  <c r="F63" i="22"/>
  <c r="F62" i="22"/>
  <c r="F87" i="5"/>
  <c r="F88" i="5"/>
  <c r="F90" i="5"/>
  <c r="F100" i="21" s="1"/>
  <c r="F3" i="21" s="1"/>
  <c r="F16" i="1"/>
  <c r="D16" i="1"/>
  <c r="H41" i="1"/>
  <c r="H42" i="1"/>
  <c r="H43" i="1"/>
  <c r="H44" i="1"/>
  <c r="H45" i="1"/>
  <c r="H46" i="1"/>
  <c r="H47" i="1"/>
  <c r="H48" i="1"/>
  <c r="H49" i="1"/>
  <c r="H50" i="1"/>
  <c r="H51" i="1"/>
  <c r="H40" i="1"/>
  <c r="H23" i="1"/>
  <c r="H24" i="1"/>
  <c r="H25" i="1"/>
  <c r="H26" i="1"/>
  <c r="H27" i="1"/>
  <c r="H28" i="1"/>
  <c r="H29" i="1"/>
  <c r="H30" i="1"/>
  <c r="H31" i="1"/>
  <c r="H22" i="1"/>
  <c r="H5" i="1"/>
  <c r="H6" i="1"/>
  <c r="H7" i="1"/>
  <c r="H8" i="1"/>
  <c r="H9" i="1"/>
  <c r="H10" i="1"/>
  <c r="H11" i="1"/>
  <c r="H12" i="1"/>
  <c r="H13" i="1"/>
  <c r="H14" i="1"/>
  <c r="H15" i="1"/>
  <c r="H4" i="1"/>
  <c r="F35" i="21" l="1"/>
  <c r="F22" i="22"/>
  <c r="F25" i="22" s="1"/>
  <c r="F22" i="7"/>
  <c r="F25" i="7" s="1"/>
  <c r="D17" i="1"/>
  <c r="G28" i="6"/>
  <c r="G29" i="6"/>
  <c r="G31" i="6" s="1"/>
  <c r="H16" i="1"/>
  <c r="F21" i="22"/>
  <c r="F21" i="7"/>
  <c r="F17" i="1"/>
  <c r="G28" i="23"/>
  <c r="G29" i="23"/>
  <c r="G31" i="23" s="1"/>
  <c r="F35" i="5"/>
  <c r="N6" i="21"/>
  <c r="N23" i="21" s="1"/>
  <c r="F22" i="21"/>
  <c r="F13" i="21"/>
  <c r="F19" i="21"/>
  <c r="T6" i="21"/>
  <c r="T23" i="21" s="1"/>
  <c r="F5" i="21"/>
  <c r="F10" i="21"/>
  <c r="F16" i="21"/>
  <c r="N6" i="22"/>
  <c r="N19" i="22" s="1"/>
  <c r="R6" i="22"/>
  <c r="R19" i="22" s="1"/>
  <c r="H75" i="18"/>
  <c r="H86" i="18"/>
  <c r="H97" i="18"/>
  <c r="F66" i="22"/>
  <c r="F5" i="22" s="1"/>
  <c r="F67" i="22"/>
  <c r="F8" i="22" s="1"/>
  <c r="F69" i="22"/>
  <c r="F12" i="22" s="1"/>
  <c r="F68" i="22"/>
  <c r="F10" i="22" s="1"/>
  <c r="F11" i="5"/>
  <c r="F12" i="5" s="1"/>
  <c r="F23" i="5"/>
  <c r="F17" i="5"/>
  <c r="F14" i="5"/>
  <c r="F15" i="5" s="1"/>
  <c r="F91" i="5"/>
  <c r="F6" i="5" s="1"/>
  <c r="F92" i="5"/>
  <c r="F20" i="5"/>
  <c r="F94" i="5"/>
  <c r="F93" i="5"/>
  <c r="H32" i="1"/>
  <c r="H52" i="1"/>
  <c r="H61" i="1" s="1"/>
  <c r="F23" i="22" l="1"/>
  <c r="F23" i="7"/>
  <c r="F24" i="7"/>
  <c r="F26" i="7" s="1"/>
  <c r="F12" i="21"/>
  <c r="N9" i="21" s="1"/>
  <c r="F8" i="21"/>
  <c r="F7" i="21"/>
  <c r="T7" i="21" s="1"/>
  <c r="F21" i="21"/>
  <c r="O12" i="21" s="1"/>
  <c r="F18" i="21"/>
  <c r="O11" i="21" s="1"/>
  <c r="F15" i="21"/>
  <c r="N10" i="21" s="1"/>
  <c r="F24" i="21"/>
  <c r="O13" i="21" s="1"/>
  <c r="F75" i="18"/>
  <c r="F86" i="18"/>
  <c r="F97" i="18"/>
  <c r="N9" i="5"/>
  <c r="F9" i="5"/>
  <c r="O9" i="5"/>
  <c r="F11" i="22"/>
  <c r="R10" i="22" s="1"/>
  <c r="F13" i="22"/>
  <c r="F9" i="22"/>
  <c r="F7" i="22"/>
  <c r="F6" i="22"/>
  <c r="O7" i="22" s="1"/>
  <c r="F24" i="5"/>
  <c r="O10" i="5"/>
  <c r="N10" i="5"/>
  <c r="F21" i="5"/>
  <c r="O12" i="5" s="1"/>
  <c r="F7" i="5"/>
  <c r="T10" i="5"/>
  <c r="F18" i="5"/>
  <c r="T9" i="5"/>
  <c r="T9" i="21" l="1"/>
  <c r="O7" i="21"/>
  <c r="O9" i="21"/>
  <c r="N13" i="21"/>
  <c r="T10" i="21"/>
  <c r="T11" i="21"/>
  <c r="N11" i="21"/>
  <c r="N8" i="21" s="1"/>
  <c r="N12" i="21"/>
  <c r="T12" i="21"/>
  <c r="T13" i="21"/>
  <c r="N7" i="21"/>
  <c r="F26" i="21"/>
  <c r="O10" i="21"/>
  <c r="N12" i="5"/>
  <c r="T12" i="5"/>
  <c r="T13" i="5"/>
  <c r="N13" i="5"/>
  <c r="O7" i="5"/>
  <c r="N7" i="22"/>
  <c r="O11" i="22"/>
  <c r="N10" i="22"/>
  <c r="N9" i="22"/>
  <c r="F14" i="22"/>
  <c r="O13" i="5"/>
  <c r="F26" i="5"/>
  <c r="N7" i="5"/>
  <c r="R11" i="22"/>
  <c r="O10" i="22"/>
  <c r="N11" i="5"/>
  <c r="N8" i="5" s="1"/>
  <c r="T7" i="5"/>
  <c r="O11" i="5"/>
  <c r="O8" i="5" s="1"/>
  <c r="R7" i="22"/>
  <c r="O9" i="22"/>
  <c r="N11" i="22"/>
  <c r="R9" i="22"/>
  <c r="R8" i="22" s="1"/>
  <c r="T11" i="5"/>
  <c r="T8" i="5" s="1"/>
  <c r="O8" i="21" l="1"/>
  <c r="O8" i="22"/>
  <c r="T8" i="21"/>
  <c r="F28" i="21"/>
  <c r="F29" i="21"/>
  <c r="F27" i="21"/>
  <c r="F36" i="21"/>
  <c r="F38" i="21" s="1"/>
  <c r="F17" i="22"/>
  <c r="H32" i="18" s="1"/>
  <c r="H96" i="18" s="1"/>
  <c r="F16" i="22"/>
  <c r="F15" i="22"/>
  <c r="F28" i="5"/>
  <c r="F27" i="5"/>
  <c r="F24" i="22"/>
  <c r="F26" i="22" s="1"/>
  <c r="N8" i="22"/>
  <c r="F29" i="5"/>
  <c r="E16" i="18" s="1"/>
  <c r="E73" i="18" s="1"/>
  <c r="F36" i="5"/>
  <c r="F38" i="5" s="1"/>
  <c r="F17" i="18" l="1"/>
  <c r="H73" i="18" s="1"/>
  <c r="F32" i="18"/>
  <c r="H95" i="18" s="1"/>
  <c r="H99" i="18" s="1"/>
  <c r="H31" i="18"/>
  <c r="F96" i="18" s="1"/>
  <c r="H16" i="18"/>
  <c r="F74" i="18" s="1"/>
  <c r="F31" i="18"/>
  <c r="F95" i="18" s="1"/>
  <c r="F16" i="18"/>
  <c r="F73" i="18" s="1"/>
  <c r="F32" i="21"/>
  <c r="T16" i="21" s="1"/>
  <c r="F31" i="21"/>
  <c r="O15" i="21" s="1"/>
  <c r="F30" i="21"/>
  <c r="F23" i="18"/>
  <c r="F84" i="18" s="1"/>
  <c r="H23" i="18"/>
  <c r="F85" i="18" s="1"/>
  <c r="F24" i="18"/>
  <c r="H84" i="18" s="1"/>
  <c r="H24" i="18"/>
  <c r="H85" i="18" s="1"/>
  <c r="F18" i="22"/>
  <c r="H17" i="18"/>
  <c r="H74" i="18" s="1"/>
  <c r="F20" i="22"/>
  <c r="R13" i="22" s="1"/>
  <c r="F19" i="22"/>
  <c r="R12" i="22" s="1"/>
  <c r="F32" i="5"/>
  <c r="N16" i="5" s="1"/>
  <c r="F31" i="5"/>
  <c r="O15" i="5" s="1"/>
  <c r="Q16" i="18" s="1"/>
  <c r="E31" i="18"/>
  <c r="E95" i="18" s="1"/>
  <c r="E23" i="18"/>
  <c r="E84" i="18" s="1"/>
  <c r="G31" i="18"/>
  <c r="E96" i="18" s="1"/>
  <c r="G23" i="18"/>
  <c r="E85" i="18" s="1"/>
  <c r="G16" i="18"/>
  <c r="E74" i="18" s="1"/>
  <c r="F30" i="5"/>
  <c r="H98" i="18" l="1"/>
  <c r="N15" i="22"/>
  <c r="R15" i="22"/>
  <c r="N16" i="21"/>
  <c r="T15" i="5"/>
  <c r="O16" i="21"/>
  <c r="V31" i="18" s="1"/>
  <c r="H87" i="18"/>
  <c r="O15" i="22"/>
  <c r="J17" i="18" s="1"/>
  <c r="L17" i="18" s="1"/>
  <c r="R23" i="18"/>
  <c r="T16" i="18"/>
  <c r="S74" i="18" s="1"/>
  <c r="R16" i="18"/>
  <c r="T23" i="18"/>
  <c r="S85" i="18" s="1"/>
  <c r="R31" i="18"/>
  <c r="T31" i="18"/>
  <c r="S96" i="18" s="1"/>
  <c r="N15" i="5"/>
  <c r="F99" i="18"/>
  <c r="F98" i="18"/>
  <c r="F77" i="18"/>
  <c r="F76" i="18"/>
  <c r="F88" i="18"/>
  <c r="F87" i="18"/>
  <c r="O19" i="21"/>
  <c r="N19" i="21"/>
  <c r="T19" i="21"/>
  <c r="T15" i="21"/>
  <c r="T16" i="5"/>
  <c r="N19" i="5"/>
  <c r="T19" i="5"/>
  <c r="O16" i="5"/>
  <c r="U16" i="18" s="1"/>
  <c r="R73" i="18" s="1"/>
  <c r="N15" i="21"/>
  <c r="H88" i="18"/>
  <c r="N12" i="22"/>
  <c r="O12" i="22"/>
  <c r="T32" i="18" s="1"/>
  <c r="U96" i="18" s="1"/>
  <c r="N13" i="22"/>
  <c r="O13" i="22"/>
  <c r="R17" i="22"/>
  <c r="E99" i="18"/>
  <c r="S31" i="18"/>
  <c r="R96" i="18" s="1"/>
  <c r="S23" i="18"/>
  <c r="R85" i="18" s="1"/>
  <c r="Q31" i="18"/>
  <c r="Q23" i="18"/>
  <c r="E88" i="18"/>
  <c r="H76" i="18"/>
  <c r="H77" i="18"/>
  <c r="S16" i="18"/>
  <c r="R74" i="18" s="1"/>
  <c r="K24" i="18"/>
  <c r="O19" i="5"/>
  <c r="W16" i="18" l="1"/>
  <c r="R75" i="18" s="1"/>
  <c r="R76" i="18" s="1"/>
  <c r="R24" i="18"/>
  <c r="X23" i="18"/>
  <c r="S86" i="18" s="1"/>
  <c r="V16" i="18"/>
  <c r="S73" i="18" s="1"/>
  <c r="V23" i="18"/>
  <c r="S84" i="18" s="1"/>
  <c r="N21" i="5"/>
  <c r="N22" i="5" s="1"/>
  <c r="X16" i="18"/>
  <c r="S75" i="18" s="1"/>
  <c r="J32" i="18"/>
  <c r="L32" i="18" s="1"/>
  <c r="J24" i="18"/>
  <c r="L24" i="18" s="1"/>
  <c r="T21" i="21"/>
  <c r="T24" i="21" s="1"/>
  <c r="X31" i="18"/>
  <c r="S97" i="18" s="1"/>
  <c r="T24" i="18"/>
  <c r="U85" i="18" s="1"/>
  <c r="N21" i="21"/>
  <c r="J16" i="18"/>
  <c r="L16" i="18" s="1"/>
  <c r="J23" i="18"/>
  <c r="L23" i="18" s="1"/>
  <c r="J31" i="18"/>
  <c r="L31" i="18" s="1"/>
  <c r="S95" i="18"/>
  <c r="U23" i="18"/>
  <c r="R84" i="18" s="1"/>
  <c r="U31" i="18"/>
  <c r="R95" i="18" s="1"/>
  <c r="W23" i="18"/>
  <c r="R86" i="18" s="1"/>
  <c r="W31" i="18"/>
  <c r="R97" i="18" s="1"/>
  <c r="Z23" i="18"/>
  <c r="R17" i="18"/>
  <c r="T17" i="18"/>
  <c r="U74" i="18" s="1"/>
  <c r="R32" i="18"/>
  <c r="R18" i="22"/>
  <c r="R20" i="22"/>
  <c r="N17" i="22"/>
  <c r="N18" i="22" s="1"/>
  <c r="V17" i="18"/>
  <c r="X24" i="18"/>
  <c r="U86" i="18" s="1"/>
  <c r="X17" i="18"/>
  <c r="U75" i="18" s="1"/>
  <c r="V32" i="18"/>
  <c r="X32" i="18"/>
  <c r="U97" i="18" s="1"/>
  <c r="V24" i="18"/>
  <c r="U84" i="18" s="1"/>
  <c r="T21" i="5"/>
  <c r="T22" i="5" s="1"/>
  <c r="I31" i="18"/>
  <c r="I23" i="18"/>
  <c r="E77" i="18"/>
  <c r="L33" i="18"/>
  <c r="L25" i="18"/>
  <c r="I16" i="18"/>
  <c r="K16" i="18" s="1"/>
  <c r="Y16" i="18" l="1"/>
  <c r="Z16" i="18"/>
  <c r="T22" i="21"/>
  <c r="Z31" i="18"/>
  <c r="Y31" i="18"/>
  <c r="Y23" i="18"/>
  <c r="S98" i="18"/>
  <c r="T33" i="21"/>
  <c r="T32" i="21"/>
  <c r="T31" i="21"/>
  <c r="S76" i="18"/>
  <c r="S87" i="18"/>
  <c r="N22" i="21"/>
  <c r="N24" i="21"/>
  <c r="N28" i="5"/>
  <c r="N27" i="5"/>
  <c r="T31" i="5"/>
  <c r="T30" i="5"/>
  <c r="T29" i="5"/>
  <c r="U95" i="18"/>
  <c r="U98" i="18" s="1"/>
  <c r="Z17" i="18"/>
  <c r="N20" i="22"/>
  <c r="U73" i="18"/>
  <c r="R27" i="22"/>
  <c r="R28" i="22"/>
  <c r="R29" i="22"/>
  <c r="Z24" i="18"/>
  <c r="Z32" i="18"/>
  <c r="R98" i="18"/>
  <c r="R87" i="18"/>
  <c r="U87" i="18"/>
  <c r="K31" i="18"/>
  <c r="K23" i="18"/>
  <c r="I33" i="11"/>
  <c r="I31" i="11"/>
  <c r="I54" i="11" s="1"/>
  <c r="N26" i="22" l="1"/>
  <c r="N27" i="22"/>
  <c r="N30" i="21"/>
  <c r="N29" i="21"/>
  <c r="I55" i="11"/>
  <c r="V13" i="11" s="1"/>
  <c r="E7" i="29"/>
  <c r="I38" i="11"/>
  <c r="U76" i="18"/>
  <c r="I50" i="11"/>
  <c r="R13" i="11" l="1"/>
  <c r="I58" i="11"/>
  <c r="I63" i="11" s="1"/>
  <c r="S13" i="11"/>
  <c r="L7" i="29"/>
  <c r="E17" i="29"/>
  <c r="M7" i="29"/>
  <c r="I32" i="20"/>
  <c r="I42" i="20"/>
  <c r="I56" i="11"/>
  <c r="I57" i="11"/>
  <c r="I23" i="11"/>
  <c r="I29" i="20" l="1"/>
  <c r="L17" i="29"/>
  <c r="G17" i="29"/>
  <c r="J17" i="29"/>
  <c r="M17" i="29"/>
  <c r="I64" i="11"/>
  <c r="I68" i="11" s="1"/>
  <c r="I55" i="20"/>
  <c r="O17" i="29" l="1"/>
  <c r="I56" i="20"/>
  <c r="I59" i="20" s="1"/>
  <c r="I64" i="20" s="1"/>
  <c r="I33" i="20"/>
  <c r="I41" i="20" s="1"/>
  <c r="I53" i="20" s="1"/>
  <c r="I40" i="20"/>
  <c r="I52" i="20" s="1"/>
  <c r="I65" i="11"/>
  <c r="I66" i="11"/>
  <c r="I34" i="20" l="1"/>
  <c r="V13" i="20"/>
  <c r="R13" i="20"/>
  <c r="I58" i="20"/>
  <c r="I57" i="20"/>
  <c r="I70" i="11"/>
  <c r="I9" i="11" s="1"/>
  <c r="I69" i="11"/>
  <c r="I6" i="11" s="1"/>
  <c r="I65" i="20"/>
  <c r="I69" i="20" s="1"/>
  <c r="I76" i="20" s="1"/>
  <c r="S13" i="20"/>
  <c r="I7" i="11" l="1"/>
  <c r="I3" i="20"/>
  <c r="I5" i="20" s="1"/>
  <c r="D75" i="18"/>
  <c r="D97" i="18"/>
  <c r="D86" i="18"/>
  <c r="I39" i="20"/>
  <c r="I51" i="20" s="1"/>
  <c r="I10" i="11"/>
  <c r="V8" i="11" s="1"/>
  <c r="I71" i="20"/>
  <c r="I9" i="20" s="1"/>
  <c r="I70" i="20"/>
  <c r="I6" i="20" s="1"/>
  <c r="I66" i="20"/>
  <c r="I67" i="20"/>
  <c r="I12" i="11" l="1"/>
  <c r="I13" i="11" s="1"/>
  <c r="R8" i="11"/>
  <c r="V7" i="11"/>
  <c r="R7" i="11"/>
  <c r="I8" i="20"/>
  <c r="I10" i="20" s="1"/>
  <c r="S8" i="20" s="1"/>
  <c r="V6" i="20"/>
  <c r="V18" i="20" s="1"/>
  <c r="R6" i="20"/>
  <c r="R18" i="20" s="1"/>
  <c r="I7" i="20"/>
  <c r="S7" i="20" s="1"/>
  <c r="S8" i="11"/>
  <c r="L97" i="18"/>
  <c r="L75" i="18"/>
  <c r="L86" i="18"/>
  <c r="I24" i="20"/>
  <c r="I15" i="11" l="1"/>
  <c r="I17" i="11" s="1"/>
  <c r="I14" i="11"/>
  <c r="I12" i="20"/>
  <c r="R7" i="20"/>
  <c r="V7" i="20"/>
  <c r="V8" i="20"/>
  <c r="R8" i="20"/>
  <c r="I16" i="11" l="1"/>
  <c r="R14" i="11" s="1"/>
  <c r="I18" i="11"/>
  <c r="R10" i="11"/>
  <c r="V10" i="11"/>
  <c r="R11" i="11"/>
  <c r="R16" i="11" s="1"/>
  <c r="V11" i="11"/>
  <c r="V14" i="11"/>
  <c r="I14" i="20"/>
  <c r="I13" i="20"/>
  <c r="I15" i="20"/>
  <c r="F15" i="18" s="1"/>
  <c r="I23" i="20"/>
  <c r="I25" i="20" s="1"/>
  <c r="I18" i="20" l="1"/>
  <c r="V11" i="20" s="1"/>
  <c r="I17" i="20"/>
  <c r="R10" i="20" s="1"/>
  <c r="F22" i="18"/>
  <c r="D84" i="18" s="1"/>
  <c r="H22" i="18"/>
  <c r="D85" i="18" s="1"/>
  <c r="L85" i="18" s="1"/>
  <c r="H30" i="18"/>
  <c r="D96" i="18" s="1"/>
  <c r="F30" i="18"/>
  <c r="D95" i="18" s="1"/>
  <c r="I16" i="20"/>
  <c r="H15" i="18"/>
  <c r="D74" i="18" s="1"/>
  <c r="D88" i="18" l="1"/>
  <c r="D87" i="18"/>
  <c r="L84" i="18"/>
  <c r="R11" i="20"/>
  <c r="V14" i="20"/>
  <c r="R14" i="20"/>
  <c r="S11" i="20"/>
  <c r="X22" i="18" s="1"/>
  <c r="S10" i="20"/>
  <c r="V10" i="20"/>
  <c r="L74" i="18"/>
  <c r="S14" i="20"/>
  <c r="J22" i="18" s="1"/>
  <c r="J26" i="18" s="1"/>
  <c r="L96" i="18"/>
  <c r="D98" i="18"/>
  <c r="D99" i="18"/>
  <c r="L95" i="18"/>
  <c r="D73" i="18"/>
  <c r="F19" i="18"/>
  <c r="H34" i="18"/>
  <c r="H26" i="18"/>
  <c r="H19" i="18"/>
  <c r="L99" i="18" l="1"/>
  <c r="X30" i="18"/>
  <c r="Q97" i="18" s="1"/>
  <c r="Y97" i="18" s="1"/>
  <c r="V15" i="18"/>
  <c r="V19" i="18" s="1"/>
  <c r="X15" i="18"/>
  <c r="Q75" i="18" s="1"/>
  <c r="Y75" i="18" s="1"/>
  <c r="V30" i="18"/>
  <c r="V34" i="18" s="1"/>
  <c r="V22" i="18"/>
  <c r="V26" i="18" s="1"/>
  <c r="R16" i="20"/>
  <c r="J15" i="18"/>
  <c r="L15" i="18" s="1"/>
  <c r="L98" i="18"/>
  <c r="J30" i="18"/>
  <c r="J34" i="18" s="1"/>
  <c r="V16" i="20"/>
  <c r="V19" i="20" s="1"/>
  <c r="Q86" i="18"/>
  <c r="X26" i="18"/>
  <c r="R15" i="18"/>
  <c r="R22" i="18"/>
  <c r="T22" i="18"/>
  <c r="R30" i="18"/>
  <c r="T30" i="18"/>
  <c r="Q96" i="18" s="1"/>
  <c r="L73" i="18"/>
  <c r="D77" i="18"/>
  <c r="D76" i="18"/>
  <c r="L76" i="18" s="1"/>
  <c r="L22" i="18"/>
  <c r="F26" i="18"/>
  <c r="L26" i="18" s="1"/>
  <c r="F34" i="18"/>
  <c r="T15" i="18"/>
  <c r="Q74" i="18" s="1"/>
  <c r="X34" i="18"/>
  <c r="L77" i="18" l="1"/>
  <c r="X19" i="18"/>
  <c r="V26" i="20"/>
  <c r="V28" i="20"/>
  <c r="V27" i="20"/>
  <c r="V17" i="20"/>
  <c r="R17" i="20"/>
  <c r="R19" i="20"/>
  <c r="Y86" i="18"/>
  <c r="L34" i="18"/>
  <c r="L30" i="18"/>
  <c r="Y96" i="18"/>
  <c r="Q73" i="18"/>
  <c r="Z15" i="18"/>
  <c r="J19" i="18"/>
  <c r="L19" i="18" s="1"/>
  <c r="R26" i="18"/>
  <c r="Q84" i="18"/>
  <c r="Z22" i="18"/>
  <c r="Q85" i="18"/>
  <c r="T26" i="18"/>
  <c r="Q95" i="18"/>
  <c r="Z30" i="18"/>
  <c r="R19" i="18"/>
  <c r="T34" i="18"/>
  <c r="T19" i="18"/>
  <c r="R25" i="20" l="1"/>
  <c r="R24" i="20"/>
  <c r="Q76" i="18"/>
  <c r="Y76" i="18" s="1"/>
  <c r="AB76" i="18" s="1"/>
  <c r="Y73" i="18"/>
  <c r="AB96" i="18"/>
  <c r="Y85" i="18"/>
  <c r="Q98" i="18"/>
  <c r="Y98" i="18" s="1"/>
  <c r="AB98" i="18" s="1"/>
  <c r="Y95" i="18"/>
  <c r="Q87" i="18"/>
  <c r="Y87" i="18" s="1"/>
  <c r="Y84" i="18"/>
  <c r="Z26" i="18"/>
  <c r="Z19" i="18"/>
  <c r="Y74" i="18"/>
  <c r="R34" i="18"/>
  <c r="S7" i="11"/>
  <c r="AB73" i="18" l="1"/>
  <c r="AB95" i="18"/>
  <c r="AB74" i="18"/>
  <c r="Z34" i="18"/>
  <c r="I22" i="11" l="1"/>
  <c r="I24" i="11" s="1"/>
  <c r="E15" i="18"/>
  <c r="E22" i="18"/>
  <c r="C84" i="18" s="1"/>
  <c r="K84" i="18" s="1"/>
  <c r="G15" i="18"/>
  <c r="C74" i="18" s="1"/>
  <c r="G22" i="18"/>
  <c r="C85" i="18" s="1"/>
  <c r="G30" i="18"/>
  <c r="C96" i="18" s="1"/>
  <c r="E30" i="18"/>
  <c r="C95" i="18" s="1"/>
  <c r="C88" i="18" l="1"/>
  <c r="K85" i="18"/>
  <c r="K88" i="18" s="1"/>
  <c r="K74" i="18"/>
  <c r="K96" i="18"/>
  <c r="S11" i="11"/>
  <c r="S10" i="11"/>
  <c r="C99" i="18"/>
  <c r="K95" i="18"/>
  <c r="C73" i="18"/>
  <c r="E19" i="18"/>
  <c r="S14" i="11"/>
  <c r="G26" i="18"/>
  <c r="G34" i="18"/>
  <c r="G19" i="18"/>
  <c r="W30" i="18" l="1"/>
  <c r="P97" i="18" s="1"/>
  <c r="X97" i="18" s="1"/>
  <c r="W15" i="18"/>
  <c r="U15" i="18"/>
  <c r="U19" i="18" s="1"/>
  <c r="S30" i="18"/>
  <c r="P96" i="18" s="1"/>
  <c r="X96" i="18" s="1"/>
  <c r="S15" i="18"/>
  <c r="P74" i="18" s="1"/>
  <c r="X74" i="18" s="1"/>
  <c r="Q15" i="18"/>
  <c r="Q19" i="18" s="1"/>
  <c r="K99" i="18"/>
  <c r="Q30" i="18"/>
  <c r="Q22" i="18"/>
  <c r="Q26" i="18" s="1"/>
  <c r="P75" i="18"/>
  <c r="X75" i="18" s="1"/>
  <c r="W22" i="18"/>
  <c r="P86" i="18" s="1"/>
  <c r="S22" i="18"/>
  <c r="P85" i="18" s="1"/>
  <c r="U30" i="18"/>
  <c r="U34" i="18" s="1"/>
  <c r="K73" i="18"/>
  <c r="U22" i="18"/>
  <c r="U26" i="18" s="1"/>
  <c r="C77" i="18"/>
  <c r="I15" i="18"/>
  <c r="K15" i="18" s="1"/>
  <c r="I30" i="18"/>
  <c r="I22" i="18"/>
  <c r="E26" i="18"/>
  <c r="E34" i="18"/>
  <c r="V16" i="11"/>
  <c r="W34" i="18" l="1"/>
  <c r="S34" i="18"/>
  <c r="P95" i="18"/>
  <c r="P73" i="18"/>
  <c r="X73" i="18" s="1"/>
  <c r="AA73" i="18" s="1"/>
  <c r="S26" i="18"/>
  <c r="AA74" i="18"/>
  <c r="Y30" i="18"/>
  <c r="W19" i="18"/>
  <c r="W26" i="18"/>
  <c r="Y22" i="18"/>
  <c r="S19" i="18"/>
  <c r="Y15" i="18"/>
  <c r="X86" i="18"/>
  <c r="X85" i="18"/>
  <c r="AA96" i="18"/>
  <c r="P84" i="18"/>
  <c r="P87" i="18" s="1"/>
  <c r="X87" i="18" s="1"/>
  <c r="K77" i="18"/>
  <c r="R17" i="11"/>
  <c r="V17" i="11"/>
  <c r="X95" i="18"/>
  <c r="P98" i="18"/>
  <c r="X98" i="18" s="1"/>
  <c r="K30" i="18"/>
  <c r="I19" i="18"/>
  <c r="K19" i="18" s="1"/>
  <c r="K22" i="18"/>
  <c r="Q34" i="18"/>
  <c r="P76" i="18" l="1"/>
  <c r="X76" i="18" s="1"/>
  <c r="AA76" i="18" s="1"/>
  <c r="Y26" i="18"/>
  <c r="Y19" i="18"/>
  <c r="V24" i="11"/>
  <c r="R23" i="11"/>
  <c r="X84" i="18"/>
  <c r="R24" i="11"/>
  <c r="AA85" i="18"/>
  <c r="AA95" i="18"/>
  <c r="AA98" i="18"/>
  <c r="AA87" i="18"/>
  <c r="V26" i="11"/>
  <c r="Y34" i="18"/>
  <c r="V25" i="11"/>
  <c r="I26" i="18"/>
  <c r="K26" i="18" s="1"/>
  <c r="I34" i="18"/>
  <c r="K3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Utkarsh Chaudhari</author>
  </authors>
  <commentList>
    <comment ref="D4" authorId="0" shapeId="0" xr:uid="{204E6035-FF5D-4778-8EED-7027D1D7CE2D}">
      <text>
        <r>
          <rPr>
            <sz val="9"/>
            <color indexed="81"/>
            <rFont val="Tahoma"/>
            <family val="2"/>
          </rPr>
          <t xml:space="preserve">USEPA. Documentation for Greenhouse Gas Emission and Energy Factors Used in the Waste Reduction Model (WARM): </t>
        </r>
        <r>
          <rPr>
            <b/>
            <i/>
            <sz val="9"/>
            <color indexed="81"/>
            <rFont val="Tahoma"/>
            <family val="2"/>
          </rPr>
          <t>Containers, Packaging, and Non-Durable Good Materials Chapters</t>
        </r>
        <r>
          <rPr>
            <sz val="9"/>
            <color indexed="81"/>
            <rFont val="Tahoma"/>
            <family val="2"/>
          </rPr>
          <t>. 2019.
(</t>
        </r>
        <r>
          <rPr>
            <b/>
            <u/>
            <sz val="9"/>
            <color indexed="81"/>
            <rFont val="Tahoma"/>
            <family val="2"/>
          </rPr>
          <t>Exhibit 5-18</t>
        </r>
        <r>
          <rPr>
            <sz val="9"/>
            <color indexed="81"/>
            <rFont val="Tahoma"/>
            <family val="2"/>
          </rPr>
          <t>)</t>
        </r>
      </text>
    </comment>
    <comment ref="E4" authorId="0" shapeId="0" xr:uid="{3940BCEF-F60F-4FB8-87CF-A271F1A2189D}">
      <text>
        <r>
          <rPr>
            <sz val="9"/>
            <color indexed="81"/>
            <rFont val="Tahoma"/>
            <family val="2"/>
          </rPr>
          <t xml:space="preserve">USEPA. Documentation for Greenhouse Gas Emission and Energy Factors Used in the Waste Reduction Model (WARM): </t>
        </r>
        <r>
          <rPr>
            <b/>
            <i/>
            <sz val="9"/>
            <color indexed="81"/>
            <rFont val="Tahoma"/>
            <family val="2"/>
          </rPr>
          <t>Management Practices Chapters.</t>
        </r>
        <r>
          <rPr>
            <sz val="9"/>
            <color indexed="81"/>
            <rFont val="Tahoma"/>
            <family val="2"/>
          </rPr>
          <t xml:space="preserve"> 2019. (</t>
        </r>
        <r>
          <rPr>
            <b/>
            <u/>
            <sz val="9"/>
            <color indexed="81"/>
            <rFont val="Tahoma"/>
            <family val="2"/>
          </rPr>
          <t>Exhibit 7-11</t>
        </r>
        <r>
          <rPr>
            <sz val="9"/>
            <color indexed="81"/>
            <rFont val="Tahoma"/>
            <family val="2"/>
          </rPr>
          <t>)</t>
        </r>
      </text>
    </comment>
    <comment ref="I4" authorId="0" shapeId="0" xr:uid="{1E1604B5-3DAB-4285-99A8-33350F33F5A4}">
      <text>
        <r>
          <rPr>
            <sz val="9"/>
            <color indexed="81"/>
            <rFont val="Tahoma"/>
            <family val="2"/>
          </rPr>
          <t>USEPA. Documentation for Greenhouse Gas Emission and Energy Factors Used in the Waste Reduction Model (WARM): Containers, Packaging, and Non-Durable Good Materials Chapters. 2019.
(</t>
        </r>
        <r>
          <rPr>
            <b/>
            <u/>
            <sz val="9"/>
            <color indexed="81"/>
            <rFont val="Tahoma"/>
            <family val="2"/>
          </rPr>
          <t>Exhibit 5-15</t>
        </r>
        <r>
          <rPr>
            <sz val="9"/>
            <color indexed="81"/>
            <rFont val="Tahoma"/>
            <family val="2"/>
          </rPr>
          <t>)</t>
        </r>
      </text>
    </comment>
    <comment ref="J4" authorId="0" shapeId="0" xr:uid="{A45647F2-6CCE-4DD9-AE26-94C0A5596203}">
      <text>
        <r>
          <rPr>
            <sz val="9"/>
            <color indexed="81"/>
            <rFont val="Tahoma"/>
            <family val="2"/>
          </rPr>
          <t xml:space="preserve">USEPA. Documentation for Greenhouse Gas Emission and Energy Factors Used in the Waste Reduction Model (WARM): </t>
        </r>
        <r>
          <rPr>
            <b/>
            <i/>
            <sz val="9"/>
            <color indexed="81"/>
            <rFont val="Tahoma"/>
            <family val="2"/>
          </rPr>
          <t>Management Practices Chapters</t>
        </r>
        <r>
          <rPr>
            <sz val="9"/>
            <color indexed="81"/>
            <rFont val="Tahoma"/>
            <family val="2"/>
          </rPr>
          <t>. 2019. (</t>
        </r>
        <r>
          <rPr>
            <b/>
            <u/>
            <sz val="9"/>
            <color indexed="81"/>
            <rFont val="Tahoma"/>
            <family val="2"/>
          </rPr>
          <t>Exhibit 7-8</t>
        </r>
        <r>
          <rPr>
            <sz val="9"/>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Utkarsh Chaudhari</author>
  </authors>
  <commentList>
    <comment ref="B12" authorId="0" shapeId="0" xr:uid="{20432EE1-A65F-45C0-9A25-C47BCA33DF10}">
      <text>
        <r>
          <rPr>
            <sz val="9"/>
            <color indexed="81"/>
            <rFont val="Tahoma"/>
            <family val="2"/>
          </rPr>
          <t>Chaudhari, Utkarsh S., et al. "Material Flow Analysis and Life Cycle Assessment of Polyethylene Terephthalate and Polyolefin Plastics Supply Chains in the United States." ACS Sustainable Chemistry &amp; Engineering 10.39 (2022): 13145-13155.</t>
        </r>
      </text>
    </comment>
    <comment ref="R12" authorId="0" shapeId="0" xr:uid="{27B3D7E0-73F2-4227-B25B-0C35C5FE0EE1}">
      <text>
        <r>
          <rPr>
            <sz val="9"/>
            <color indexed="81"/>
            <rFont val="Tahoma"/>
            <family val="2"/>
          </rPr>
          <t>Deposit containers, at collection NREL/RNA U EI 2.2
with updated 2020 Michigan Electricity grid
GHG: 0.0369 MTCO2-eq/MT
CED: 0.559 MJ/kg</t>
        </r>
      </text>
    </comment>
    <comment ref="R14" authorId="0" shapeId="0" xr:uid="{6444A71A-0DBC-417A-ACE1-9ABDB7719A2D}">
      <text>
        <r>
          <rPr>
            <sz val="9"/>
            <color indexed="81"/>
            <rFont val="Tahoma"/>
            <family val="2"/>
          </rPr>
          <t>Due to lack of U.S. LCA data on post-industrial plastic waste, authors assumed 50% of the total impacts associated with mechanical recycling of the resin obtained from Franklin Associates report, 2018.</t>
        </r>
      </text>
    </comment>
    <comment ref="R15" authorId="0" shapeId="0" xr:uid="{4862DBDE-CF4E-40E1-ABAE-9F65B0099CE4}">
      <text>
        <r>
          <rPr>
            <sz val="9"/>
            <color indexed="81"/>
            <rFont val="Tahoma"/>
            <family val="2"/>
          </rPr>
          <t>Transportation related GHG emissions associated with national PET supply chain were allocated to Michigan based on the transportation activity for NAICS code 326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Utkarsh Chaudhari</author>
  </authors>
  <commentList>
    <comment ref="R12" authorId="0" shapeId="0" xr:uid="{C15168AE-856D-4EAF-9891-9299E2E4C27A}">
      <text>
        <r>
          <rPr>
            <sz val="9"/>
            <color indexed="81"/>
            <rFont val="Tahoma"/>
            <family val="2"/>
          </rPr>
          <t>Deposit containers, at collection NREL/RNA U EI 2.2
with updated 2020 Michigan Electricity grid
GHG: 0.0369 MTCO2-eq/MT
CED: 0.559 MJ/kg</t>
        </r>
      </text>
    </comment>
    <comment ref="R14" authorId="0" shapeId="0" xr:uid="{ADA21118-DAEF-434F-B619-8F5C6C95757E}">
      <text>
        <r>
          <rPr>
            <sz val="9"/>
            <color indexed="81"/>
            <rFont val="Tahoma"/>
            <family val="2"/>
          </rPr>
          <t>Due to lack of U.S. LCA data on post-industrial plastic waste, authors assumed 50% of the total impacts associated with mechanical recycling of the resin obtained from Franklin Associates report, 2018.</t>
        </r>
      </text>
    </comment>
    <comment ref="R15" authorId="0" shapeId="0" xr:uid="{91C79962-96CC-448F-8A94-3A02433FD2BE}">
      <text>
        <r>
          <rPr>
            <sz val="9"/>
            <color indexed="81"/>
            <rFont val="Tahoma"/>
            <family val="2"/>
          </rPr>
          <t>Transportation related GHG emissions associated with national PET supply chain were allocated to Michigan based on the transportation activity for NAICS code 326</t>
        </r>
      </text>
    </comment>
    <comment ref="B61" authorId="0" shapeId="0" xr:uid="{ADAE2D67-B79D-49BE-B38A-E7B1BE7BD480}">
      <text>
        <r>
          <rPr>
            <sz val="9"/>
            <color indexed="81"/>
            <rFont val="Tahoma"/>
            <family val="2"/>
          </rPr>
          <t>Includes additional total amount of PET and PO materials recovered as per NextCycle scenario, which is 269.8 KMT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Utkarsh Chaudhari</author>
  </authors>
  <commentList>
    <comment ref="B31" authorId="0" shapeId="0" xr:uid="{1BEF28DE-44D5-49F3-8611-AFB9C8D9C10E}">
      <text>
        <r>
          <rPr>
            <sz val="9"/>
            <color indexed="81"/>
            <rFont val="Tahoma"/>
            <family val="2"/>
          </rPr>
          <t>Includes additional total amount of PET and PO materials recovered
as per NextCycle scenario,  which is 269.8 KMT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Utkarsh Chaudhari</author>
  </authors>
  <commentList>
    <comment ref="B17" authorId="0" shapeId="0" xr:uid="{203EDF5E-BDE9-4695-966C-8DD5E7E8BA1F}">
      <text>
        <r>
          <rPr>
            <sz val="9"/>
            <color indexed="81"/>
            <rFont val="Tahoma"/>
            <family val="2"/>
          </rPr>
          <t>Includes additional total amount of PET and PO materials recovered
as per NextCycle scenario which is 269.8 KMT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Utkarsh Chaudhari</author>
  </authors>
  <commentList>
    <comment ref="B17" authorId="0" shapeId="0" xr:uid="{D21851BD-2190-4138-A65D-982E90CF6DFB}">
      <text>
        <r>
          <rPr>
            <sz val="9"/>
            <color indexed="81"/>
            <rFont val="Tahoma"/>
            <family val="2"/>
          </rPr>
          <t>Includes additional total amount of PET and PO materials recovered as per NextCycle scenario, which is 269.8 KMT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Utkarsh Chaudhari</author>
  </authors>
  <commentList>
    <comment ref="R10" authorId="0" shapeId="0" xr:uid="{32ED2BC7-28C6-44B8-8E3D-9533C7FCA03A}">
      <text>
        <r>
          <rPr>
            <sz val="9"/>
            <color indexed="81"/>
            <rFont val="Tahoma"/>
            <family val="2"/>
          </rPr>
          <t xml:space="preserve">41.3% of the impacts of NAICS code 56221 could be a attributed to solid waste landfills, based on the IBIS report for NAICS code 56221. 
Source: IBIS World.
https://my.ibisworld.com/us/en/industry/56221/products-and-markets </t>
        </r>
      </text>
    </comment>
    <comment ref="V10" authorId="0" shapeId="0" xr:uid="{29312825-78B5-44DC-AF0B-9F8A842F91A5}">
      <text>
        <r>
          <rPr>
            <sz val="9"/>
            <color indexed="81"/>
            <rFont val="Tahoma"/>
            <family val="2"/>
          </rPr>
          <t xml:space="preserve">14.4 % of the impacts of NAICS code 56221 could be a attributed to incinerators, based on the IBIS report for NAICS code 56221. 
Source: IBIS World.
https://my.ibisworld.com/us/en/industry/56221/products-and-markets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Utkarsh Chaudhari</author>
  </authors>
  <commentList>
    <comment ref="C22" authorId="0" shapeId="0" xr:uid="{E7F847E0-0556-470B-A4F5-32D7F96E74BF}">
      <text>
        <r>
          <rPr>
            <sz val="9"/>
            <color indexed="81"/>
            <rFont val="Tahoma"/>
            <family val="2"/>
          </rPr>
          <t xml:space="preserve">50% of the Petrochemical manufacturing in the US (NAICS Code 32511) could be attributed to the plastics and resin manufacturing in the US, based on the (revenue) market segmentation of NAICS code 32511. Source: IBIS World, https://my.ibisworld.com/us/en/industry/32511/products-and-markets </t>
        </r>
      </text>
    </comment>
  </commentList>
</comments>
</file>

<file path=xl/sharedStrings.xml><?xml version="1.0" encoding="utf-8"?>
<sst xmlns="http://schemas.openxmlformats.org/spreadsheetml/2006/main" count="2308" uniqueCount="628">
  <si>
    <t>LLDPE/LDPE</t>
  </si>
  <si>
    <t>HDPE</t>
  </si>
  <si>
    <t>PP</t>
  </si>
  <si>
    <t>PET</t>
  </si>
  <si>
    <t>-</t>
  </si>
  <si>
    <t xml:space="preserve"> Monofil, Cr-sect Ov 1mm, Rod Etc, Ethylene Polymer</t>
  </si>
  <si>
    <t>Tubes, Pipes &amp; Hoses, Rigid Of Polymrs Of Ethylene</t>
  </si>
  <si>
    <t>Tubes, Pipes &amp; Hoses, Rigid, Polymers Of Propylene</t>
  </si>
  <si>
    <t>Tubes, Pipes &amp; Hoses, Rigid, Of Plastic Nesoi</t>
  </si>
  <si>
    <t>Flexible Tubes, Pipes Etc, Min Burst Pres 27.6 Mpa</t>
  </si>
  <si>
    <t>Tubes Etc, Nt Reinforced Etc, Without Fittings</t>
  </si>
  <si>
    <t xml:space="preserve"> Tubes, Pipes &amp; Hoses, Nt Reinf Etc, With Fittings</t>
  </si>
  <si>
    <t>Tubes, Pipes &amp; Hoses, Of Plastics, Nesoi</t>
  </si>
  <si>
    <t>Fittings For Tubes, Pipes &amp; Hoses, Of Plastics</t>
  </si>
  <si>
    <t>Plates, Sheets Etc, Non-cell Etc, Polymer</t>
  </si>
  <si>
    <t>Plates, Sheets, Film Etc, Plastics, Self-adh Nesoi</t>
  </si>
  <si>
    <t>Plates Etc, Noncell, Nt Rein, Of Plastics Nesoi</t>
  </si>
  <si>
    <t>Plates, Sheets Etc. Nesoi, Cellular Plastic Nesoi</t>
  </si>
  <si>
    <t xml:space="preserve"> Plates, Sheets, Film Etc, Plastic Nesoi Ncel Nesoi</t>
  </si>
  <si>
    <t>Plates, Sheets Etc, Non-cell Etc, Polymr Propylene</t>
  </si>
  <si>
    <t>Plates, Sheets, Film Etc, Plastic Nesoi Ncel Nesoi</t>
  </si>
  <si>
    <t>Landfilled</t>
  </si>
  <si>
    <t>Incinerated</t>
  </si>
  <si>
    <t>LDPE/LLDPE</t>
  </si>
  <si>
    <t>Source: U.S. EPA, Advancing Sustainable Materials Management: 2018 Tables and Figures Report 2020. https://www.epa.gov/facts-and-figures-about-materials-waste-and-recycling/advancing-sustainable-materials-management</t>
  </si>
  <si>
    <t>USEPA 2018 (2020), All Units in Thousand Metric Tons</t>
  </si>
  <si>
    <t>Product Category</t>
  </si>
  <si>
    <t>Resin</t>
  </si>
  <si>
    <t>Total Waste Generated</t>
  </si>
  <si>
    <t>Collected for Sorting</t>
  </si>
  <si>
    <t>Incinerated with energy recovery</t>
  </si>
  <si>
    <t>Landfilled + Incinerated</t>
  </si>
  <si>
    <t>% Recovered</t>
  </si>
  <si>
    <t>% Incinerated</t>
  </si>
  <si>
    <t>% Landfilled</t>
  </si>
  <si>
    <t>Overall incinerated</t>
  </si>
  <si>
    <t>Overall landfilled</t>
  </si>
  <si>
    <t>All Product Categories</t>
  </si>
  <si>
    <t>All plastic resins</t>
  </si>
  <si>
    <t xml:space="preserve">Containers and Packaging  </t>
  </si>
  <si>
    <t>Non-Durable Goods</t>
  </si>
  <si>
    <t>Durable Goods</t>
  </si>
  <si>
    <t>Estimated</t>
  </si>
  <si>
    <t>All Units in Thousand MT</t>
  </si>
  <si>
    <t>Known from the USEPA Tables</t>
  </si>
  <si>
    <t>Containers and Packaging</t>
  </si>
  <si>
    <t>Nondurable Goods</t>
  </si>
  <si>
    <t>Neg. or not given (Assumed to be 0)</t>
  </si>
  <si>
    <t>Product category</t>
  </si>
  <si>
    <t>Generated</t>
  </si>
  <si>
    <t xml:space="preserve">Collected for sorting </t>
  </si>
  <si>
    <t>PET bottles and Jars</t>
  </si>
  <si>
    <t>Plastic plates and cups</t>
  </si>
  <si>
    <t>Other plastics packaging</t>
  </si>
  <si>
    <t>Other PET packaging</t>
  </si>
  <si>
    <t xml:space="preserve">Total PET </t>
  </si>
  <si>
    <t>Trash Bags</t>
  </si>
  <si>
    <t>Natural HDPE bottles</t>
  </si>
  <si>
    <t>Other plastics containers</t>
  </si>
  <si>
    <t>Other HDPE containers</t>
  </si>
  <si>
    <t>Bags,sacks, and wraps</t>
  </si>
  <si>
    <t>All other plastics nondurables</t>
  </si>
  <si>
    <t>HDPE bags, sacks, and wraps</t>
  </si>
  <si>
    <t>Other HDPE packaging</t>
  </si>
  <si>
    <t xml:space="preserve">Total HDPE </t>
  </si>
  <si>
    <t>Other LDPE/LLDPE containers</t>
  </si>
  <si>
    <t>LDPE/LLDPE bags, sacks and wraps</t>
  </si>
  <si>
    <t>Total HDPE</t>
  </si>
  <si>
    <t>Other LDPE/LLDPE packaging</t>
  </si>
  <si>
    <t>Total LDPE/LLDPE</t>
  </si>
  <si>
    <t>Total PP</t>
  </si>
  <si>
    <t>Other PP containers</t>
  </si>
  <si>
    <t>PP bags, sacks, and wraps</t>
  </si>
  <si>
    <t>Other PP packaging</t>
  </si>
  <si>
    <t xml:space="preserve">Total PP </t>
  </si>
  <si>
    <t>US population</t>
  </si>
  <si>
    <t>MI population</t>
  </si>
  <si>
    <t>MI-to-US population ratio</t>
  </si>
  <si>
    <t>Injection molding</t>
  </si>
  <si>
    <t>Total extrusion</t>
  </si>
  <si>
    <t>Film extrusion</t>
  </si>
  <si>
    <t>Sheet extrusion</t>
  </si>
  <si>
    <t>Pipe extrusion</t>
  </si>
  <si>
    <t>Other applications</t>
  </si>
  <si>
    <t>MI contribution</t>
  </si>
  <si>
    <t>Source</t>
  </si>
  <si>
    <t>Waste at thermoform</t>
  </si>
  <si>
    <t>EOL</t>
  </si>
  <si>
    <t>2021 NextCycle Michigan Gap analysis</t>
  </si>
  <si>
    <t>PET bottles landfilled</t>
  </si>
  <si>
    <t>PET bottles incinerated</t>
  </si>
  <si>
    <t xml:space="preserve">PET generated in other packaging </t>
  </si>
  <si>
    <t>Other PET collected for sorting and recycling</t>
  </si>
  <si>
    <t xml:space="preserve">Other PET landfilled </t>
  </si>
  <si>
    <t>Other PET incinerated</t>
  </si>
  <si>
    <t>Total PET waste generated</t>
  </si>
  <si>
    <t xml:space="preserve">lanfilled </t>
  </si>
  <si>
    <t>Containers and packaging (C&amp;P)</t>
  </si>
  <si>
    <t>Total C&amp;P PET waste generated</t>
  </si>
  <si>
    <t>Total PET in non-durable</t>
  </si>
  <si>
    <t>Total PET in durable</t>
  </si>
  <si>
    <t>Adjusted based on per capita and EPA data</t>
  </si>
  <si>
    <t>Adjusted based on per capita basis and EPA data</t>
  </si>
  <si>
    <t>MT</t>
  </si>
  <si>
    <t>Total waste at MRF</t>
  </si>
  <si>
    <t xml:space="preserve">Landfilled </t>
  </si>
  <si>
    <t>Inicnerated</t>
  </si>
  <si>
    <t>Total PET through MRF</t>
  </si>
  <si>
    <t>output from MRF</t>
  </si>
  <si>
    <t>Waste</t>
  </si>
  <si>
    <t>2.4% waste</t>
  </si>
  <si>
    <t>0.3%, waste</t>
  </si>
  <si>
    <t>0.4%, waste</t>
  </si>
  <si>
    <t>1.27%, waste</t>
  </si>
  <si>
    <t>0.6%, waste</t>
  </si>
  <si>
    <t>Total post-industrial waste</t>
  </si>
  <si>
    <t>HDPE bottles landfilled</t>
  </si>
  <si>
    <t>HDPE bottles incinerated</t>
  </si>
  <si>
    <t>Total HDPE bottles generated</t>
  </si>
  <si>
    <t>HDPE generated in bags, sacks, and wraps category</t>
  </si>
  <si>
    <t>landfilled</t>
  </si>
  <si>
    <t>incinerated</t>
  </si>
  <si>
    <t>HDPE bags, sacks, and wraps collected for sorting and recycling</t>
  </si>
  <si>
    <t>Total HDPE in non-durable</t>
  </si>
  <si>
    <t>Total HDPE in durable</t>
  </si>
  <si>
    <t>Total HDPE waste generated</t>
  </si>
  <si>
    <t>Total HDPE in other packaging</t>
  </si>
  <si>
    <t>LDPE/LLDPE film landfilled</t>
  </si>
  <si>
    <t>LDPE/LLFPE film incinerated</t>
  </si>
  <si>
    <t>LDPE/LLDPE film collected for recycling</t>
  </si>
  <si>
    <t>Total LDPE/LLDPE film generated</t>
  </si>
  <si>
    <t>PP landfilled</t>
  </si>
  <si>
    <t>PP incinerated</t>
  </si>
  <si>
    <t>PP collected for recycling</t>
  </si>
  <si>
    <t>PP in bags sacks and wraps</t>
  </si>
  <si>
    <t>Total PP in C&amp;P</t>
  </si>
  <si>
    <t>PP in Non-durable</t>
  </si>
  <si>
    <t>PP in durable</t>
  </si>
  <si>
    <t>Total PP waste generated</t>
  </si>
  <si>
    <t>HDPE bottles collected for sorting and recycling</t>
  </si>
  <si>
    <t xml:space="preserve"> Plates Etc, Noncell Etc, Polyethylene Terephthlate</t>
  </si>
  <si>
    <t>SEWING THREAD OF MANMADE FILAMENTS, WHETHER OR NOT PUT UP FOR RETAIL SALE, OF SYNTHETIC FILAMENTS</t>
  </si>
  <si>
    <t>SYNTHETIC FILAMENT YARN OTHER THAN SEWING THREAD, NOT PUT UP FOR RETAIL SALE, HIGH TENACITY YARN OF POLYESTERS</t>
  </si>
  <si>
    <t>SYNTHETIC FILAMENT YARN OTHER THAN SEWING THREAD, NOT PUT UP FOR RETAIL SALE, TEXTURED YARN OF POLYESTERS</t>
  </si>
  <si>
    <t>YARN, SINGLE, UNTWISTED OR WITH A TWIST NOT EXCEEDING 50 TURNS PER METER, OF POLYESTERS, PARTIALLY ORIENTED, NES</t>
  </si>
  <si>
    <t>POLYESTER FILAMENT YARN, SINGLE, UNTWISTED OR WITH A TWIST NOT EXCEEDING 50 TURNS PER METER, NOT PUT UP FOR RETAIL SALE, NESOI</t>
  </si>
  <si>
    <t>SYNTHETIC FILAMENT YARN EXCEPT SEWING THREAD, NOT FOR RETAIL SALE, SINGLE YARN NESOI, TWISTED WITH OVER 50 TURNS PER METER, POLYESTERS</t>
  </si>
  <si>
    <t>SYNTHETIC FILAMENT YARN EXCEPT SEWING THREAD, NOT FOR RETAIL SALE, YARN NESOI, MULTIPLE OR CABLED, OF POLYESTERS</t>
  </si>
  <si>
    <t>SYNTHETIC FILAMENT YARN, NOT FOR RETAIL SALE, TEXTURED YARN OF POLYPROPYLENE</t>
  </si>
  <si>
    <t>POLYPROPYLENE FILAMENT YARN, SINGLE, UNTWISTED OR WITH A TWIST NOT EXCEEDING 50 TURNS PER METER, NOT PUT UP FOR RETAIL SALE, NESOI</t>
  </si>
  <si>
    <t>POLYPROPYLENE YARN, SINGLE, WITH A TWIST EXCEEDING 50 TURNS PER METER, NOT FOR RETAIL SALE,</t>
  </si>
  <si>
    <t>POLYPROPYLENE YARN, MUTIPLE (FOLEDED) OR CABLES, NOT FOR RETAIL SALE,NESOI</t>
  </si>
  <si>
    <t>POLYPROPYLENE MONOFILAMENT OF 67 DECITEX OR MORE AND OF WHICH NO CROSS-SECTIONAL DIMENSION EXCEEDS 1 MM, NESOI</t>
  </si>
  <si>
    <t>Total semi-manufactured PET products</t>
  </si>
  <si>
    <t>Total semi-manufactured PET in fiber form</t>
  </si>
  <si>
    <t>Total semi-finished products</t>
  </si>
  <si>
    <t>Total semi-finished PP in fiber form</t>
  </si>
  <si>
    <t>Total semi-manufactured PP trade</t>
  </si>
  <si>
    <t>Total semi-manufactured PET trade</t>
  </si>
  <si>
    <t>Waste, Parings And Scrap, Of Plastics, Nesoi</t>
  </si>
  <si>
    <t>Waste, Paring And Scrap Of Ethylene Polymers</t>
  </si>
  <si>
    <t>MMT</t>
  </si>
  <si>
    <t>Comment</t>
  </si>
  <si>
    <t>MI no. of bottle converters</t>
  </si>
  <si>
    <t>US no. of bottle converters</t>
  </si>
  <si>
    <t>Thermoformers</t>
  </si>
  <si>
    <t>Bottle converters</t>
  </si>
  <si>
    <t>MI no. of thermoformers</t>
  </si>
  <si>
    <t>US no. of thermoformers</t>
  </si>
  <si>
    <t>Avg. of emplyoment and revenue_All other</t>
  </si>
  <si>
    <t>Avg. of emplyoment and revenue_Bottle</t>
  </si>
  <si>
    <t>MI GDP of plastics and rubber product mfg ($ MM), 6th state, NAICS Code 326</t>
  </si>
  <si>
    <t>US GDP of plastics and rubber product mfg ($ MM), NAICS Code 326</t>
  </si>
  <si>
    <t>MI contribution to US GDP of plastics and rubber product mfg, NAICS codes 326</t>
  </si>
  <si>
    <t>MI Employment in plastic product mfg, NAICS Code 3261</t>
  </si>
  <si>
    <t>US employment in plastic and product mfg, NAICS Code 3261</t>
  </si>
  <si>
    <t>MI Employment_All other plastic product mfg NAICS code 326199</t>
  </si>
  <si>
    <t>US Employment_All other plastic product mfg NAICS code 326199</t>
  </si>
  <si>
    <t xml:space="preserve">Applications of PET in MI based on average employment and revenue </t>
  </si>
  <si>
    <t>Thermoforming</t>
  </si>
  <si>
    <t>ISBM</t>
  </si>
  <si>
    <t>Waste at ISBM</t>
  </si>
  <si>
    <t>Exports (kg)</t>
  </si>
  <si>
    <t>Imports (kg)</t>
  </si>
  <si>
    <t>Net Trade, kg (Imports - Exports); '+' indicates net import and '-' indicates net exports</t>
  </si>
  <si>
    <t>Net trade</t>
  </si>
  <si>
    <t>'+' indicates net import and '-' indicates net exports</t>
  </si>
  <si>
    <t>Input to manufacturing sector</t>
  </si>
  <si>
    <t>Output from manufacturing sector (exports + waste generated)</t>
  </si>
  <si>
    <t>V-PET use in Michigan</t>
  </si>
  <si>
    <t>V-PET in ISBM</t>
  </si>
  <si>
    <t>V-PET in Thermoform</t>
  </si>
  <si>
    <t>In-use stock</t>
  </si>
  <si>
    <t>PET bottles collected for sorting and recycling</t>
  </si>
  <si>
    <t>Collected via container deposit program</t>
  </si>
  <si>
    <t>Collected via curbside collection and going to MRFs</t>
  </si>
  <si>
    <t>Total PET bottle waste generated</t>
  </si>
  <si>
    <t xml:space="preserve">Estimated, Conventional management of MSW based on 2016 EGLE </t>
  </si>
  <si>
    <t>Material Recovery Facility (MRF)</t>
  </si>
  <si>
    <t>Mechanical recycling</t>
  </si>
  <si>
    <t>PET to reclaimers</t>
  </si>
  <si>
    <t>V-HDPE use in Michigan</t>
  </si>
  <si>
    <t xml:space="preserve">Waste </t>
  </si>
  <si>
    <t>14% of V-HDPE</t>
  </si>
  <si>
    <t>13%  of V-HDPE</t>
  </si>
  <si>
    <t>37%  of V-HDPE</t>
  </si>
  <si>
    <t>6%  of V-HDPE</t>
  </si>
  <si>
    <t>17%  of V-HDPE</t>
  </si>
  <si>
    <t>N-HDPE</t>
  </si>
  <si>
    <t>C-HDPE</t>
  </si>
  <si>
    <t>Total C&amp;P waste HDPE generated</t>
  </si>
  <si>
    <t>Total HDPE through MRF</t>
  </si>
  <si>
    <t>Adjusted based on per capita and EPA data; Assumed to be collected via store-drop off centers</t>
  </si>
  <si>
    <t>HDPE to reclaimers</t>
  </si>
  <si>
    <t>V-LDPE/LLDPE use in Michigan</t>
  </si>
  <si>
    <t>Other extruded products</t>
  </si>
  <si>
    <t>0.6% waste</t>
  </si>
  <si>
    <t>0.35% waste</t>
  </si>
  <si>
    <t>V-PP use in Michigan</t>
  </si>
  <si>
    <t>Fiber extrusion</t>
  </si>
  <si>
    <t>Blow molding</t>
  </si>
  <si>
    <t>31% of V-HDPE</t>
  </si>
  <si>
    <t>2% of V-LDPE/LLDPE</t>
  </si>
  <si>
    <t>59% of V-LDPE/LLDPE</t>
  </si>
  <si>
    <t>13% of V-LDPE/LLDPE</t>
  </si>
  <si>
    <t>26% of V-LDPE/LLDPE</t>
  </si>
  <si>
    <t>30% of V-PP</t>
  </si>
  <si>
    <t>9% of V-PP</t>
  </si>
  <si>
    <t>12% of V-PP</t>
  </si>
  <si>
    <t>15% of V-PP</t>
  </si>
  <si>
    <t>1% of V-PP</t>
  </si>
  <si>
    <t>33% of V-PP</t>
  </si>
  <si>
    <t>3.2% waste</t>
  </si>
  <si>
    <t>1.02% waste</t>
  </si>
  <si>
    <t>Total C&amp;P PET waste collected for sorting and recycling</t>
  </si>
  <si>
    <t>Total C&amp;P PET waste landfilled</t>
  </si>
  <si>
    <t>Total C&amp;P PET waste incinerated</t>
  </si>
  <si>
    <t>Total C&amp;P HDPE waste landfilled</t>
  </si>
  <si>
    <t>Total C&amp;P HDPE waste incinerated</t>
  </si>
  <si>
    <t>Total C&amp;P HDPE waste collected for sorting and recycling</t>
  </si>
  <si>
    <t>Total C&amp;P LDPE/LLDPE waste landfilled</t>
  </si>
  <si>
    <t>Total C&amp;P LDPE/LLDPE waste incinerated</t>
  </si>
  <si>
    <t>Total C&amp;P PP waste landfilled</t>
  </si>
  <si>
    <t>Total C&amp;P PP waste incinerated</t>
  </si>
  <si>
    <t>Total C&amp;P PP waste collected for sorting and recycling</t>
  </si>
  <si>
    <t>HS Codes</t>
  </si>
  <si>
    <t>Total HDPE and LDPE/LLDPE after exports</t>
  </si>
  <si>
    <t>Total Exports of Waste PE, HTS Code 3915.10</t>
  </si>
  <si>
    <t>Total Exports of HTS Code 3915.90</t>
  </si>
  <si>
    <t>Share of PET resin collected for sorting and recycling based on US EPA, excluding HDPE and LDPE/LLDPE</t>
  </si>
  <si>
    <t>Share of PP resin collected for sorting and recycling based on US EPA, excluding HDPE and LDPE/LLDPE</t>
  </si>
  <si>
    <t>Total PET, PP, and other resins excluding HDPE and LDPE/LLDPE</t>
  </si>
  <si>
    <t>Share of other resins collected for sorting and recycling based on US EPA, excluding HDPE and LDPE/LLDPE</t>
  </si>
  <si>
    <t>Negligible</t>
  </si>
  <si>
    <t>Net PP for recycling</t>
  </si>
  <si>
    <t>Total post-consumer waste landfilled</t>
  </si>
  <si>
    <t>Total post-consumer waste incinerated</t>
  </si>
  <si>
    <t xml:space="preserve">Total LDPE/LLDPE waste in C&amp;P </t>
  </si>
  <si>
    <t>Total LDPE/LLDPE waste in Non-durable</t>
  </si>
  <si>
    <t>Total LDPE/LLDPE waste in Durable</t>
  </si>
  <si>
    <t>Total LDPE/LLDPE waste generated</t>
  </si>
  <si>
    <t>Total</t>
  </si>
  <si>
    <t>PET bottles</t>
  </si>
  <si>
    <t>Total HDPE and LDPE/LLDPE collected for recycling</t>
  </si>
  <si>
    <t>Int'l. Imports of semi-manufactured PET products, including fiber</t>
  </si>
  <si>
    <t>Int'l. Exports of semi-manufactured PET products, including fiber</t>
  </si>
  <si>
    <t>Int'l. Import</t>
  </si>
  <si>
    <t>Int'l. Export</t>
  </si>
  <si>
    <t>Int'l. Imports of semi-manufactured HDPE products</t>
  </si>
  <si>
    <t>Int'l. Exports of semi-manufactured HDPE products</t>
  </si>
  <si>
    <t>Int'l. Imports of semi-manufactured LDPE/LLDPE products</t>
  </si>
  <si>
    <t>Int'l. Exports of semi-manufactured LDPE/LLDPE products</t>
  </si>
  <si>
    <t>Int'l. Imports of semi-manufactured PP products</t>
  </si>
  <si>
    <t>Int'l. Exports of semi-manufactured PP products</t>
  </si>
  <si>
    <t>Extrusion</t>
  </si>
  <si>
    <t>Landfill</t>
  </si>
  <si>
    <t>Incineration with energy recovery</t>
  </si>
  <si>
    <t>MRF</t>
  </si>
  <si>
    <t>Film</t>
  </si>
  <si>
    <t>Sheet</t>
  </si>
  <si>
    <t>Pipe</t>
  </si>
  <si>
    <t>All others</t>
  </si>
  <si>
    <t>Total C&amp;P LDPE/LLDPE waste collected for recycling</t>
  </si>
  <si>
    <t>Compacting and baling</t>
  </si>
  <si>
    <t>Emissions (MT CO2-eq/MT)</t>
  </si>
  <si>
    <t>Emissions (MT CO2-eq)</t>
  </si>
  <si>
    <t>MTCO2-eq</t>
  </si>
  <si>
    <t>MMT CO2-eq</t>
  </si>
  <si>
    <t>LDPE/LLDPE film</t>
  </si>
  <si>
    <t>Total Waste generated (MT)</t>
  </si>
  <si>
    <t>Need to recover (MT)</t>
  </si>
  <si>
    <t>% rate</t>
  </si>
  <si>
    <t>Currently  recovered (MT)</t>
  </si>
  <si>
    <t>Estimated, Conventional management of MSW disposed, 98% landfilled and 2% incinerated</t>
  </si>
  <si>
    <t>2021 NextCycle Michigan Gap analysis, Collected via commercial/store drop-off collection programs</t>
  </si>
  <si>
    <t>Other PP plastic packaging waste generated</t>
  </si>
  <si>
    <t>Other PP packging collected for recycling</t>
  </si>
  <si>
    <t xml:space="preserve">Other PP packaging lanfilled </t>
  </si>
  <si>
    <t>Other PP packaging incinerated</t>
  </si>
  <si>
    <t>Total post-consumer waste collected for sorting and recycling</t>
  </si>
  <si>
    <t>Total PP containers waste generated</t>
  </si>
  <si>
    <t>V-PET available in the U.S.</t>
  </si>
  <si>
    <t>V-HDPE available in the U.S.</t>
  </si>
  <si>
    <t>V-LDPE/LLDPE available in the U.S.</t>
  </si>
  <si>
    <t>V-PP available in the U.S.</t>
  </si>
  <si>
    <t>Natural gas</t>
  </si>
  <si>
    <t>Process</t>
  </si>
  <si>
    <t>Total Energy Demand (MJ/kg)</t>
  </si>
  <si>
    <t>For 'all other conversion processes' category</t>
  </si>
  <si>
    <t>Molding processes</t>
  </si>
  <si>
    <t>Blow moulding</t>
  </si>
  <si>
    <t>Type of plastic</t>
  </si>
  <si>
    <t>Comments</t>
  </si>
  <si>
    <t>Injection moulding</t>
  </si>
  <si>
    <t>Average includes molding, extrusion, fleece production, foaming/expanding, thermoforming only processes</t>
  </si>
  <si>
    <t>Stretch blow moulding</t>
  </si>
  <si>
    <t>Average includes molding, extrusion,  foaming/expanding, thermoforming only processes. Average of foaming/expanding and thermoforming only: 0.42 kg CO2-eq/kg; 9.86 MJ/kg; 1 % waste. Fleece production is already accounted towards fiber extrusion because the amount of PP used in fiber extrusion is known (refer to MFA SI excle file).</t>
  </si>
  <si>
    <t xml:space="preserve">Avg. </t>
  </si>
  <si>
    <t xml:space="preserve">Average includes molding, extrusion,  foaming/expanding. </t>
  </si>
  <si>
    <t>Average includes Film extrusion, sheet extrusion, and thermoforming only processes.</t>
  </si>
  <si>
    <t>Extrusion Processes</t>
  </si>
  <si>
    <t>Calendering, Sheets</t>
  </si>
  <si>
    <t>LDPE/LLDPE (Sheet/Pipes)</t>
  </si>
  <si>
    <t>For 'sheet/pipe' semi-manufacturing process category in the LDPE/LLDPE MFA diagram, we took an average of pipe and sheet extrusion, as film extrusion has already been accounted for flow of LDPE/LLDPE through 'Film Extrusion'.</t>
  </si>
  <si>
    <t>Fleece production</t>
  </si>
  <si>
    <t>Foaming, expanding</t>
  </si>
  <si>
    <t>Thermoforming with calendering</t>
  </si>
  <si>
    <t>Thermoforming only (no calendering)</t>
  </si>
  <si>
    <t>Resins used in different conversion processes</t>
  </si>
  <si>
    <t xml:space="preserve">Injection molding, Compression molding, Coating, Extrusion, Laminating, Sheet forming, Blow molding, Rotational molding, Structural foam, Thermoforming </t>
  </si>
  <si>
    <r>
      <t>Rosato, Dominick V., Donald V. Rosato, and Matthew v Rosato. </t>
    </r>
    <r>
      <rPr>
        <sz val="11"/>
        <color rgb="FF222222"/>
        <rFont val="Calibri"/>
        <family val="2"/>
        <scheme val="minor"/>
      </rPr>
      <t>Plastic product material and process selection handbook. Elsevier, 2004.</t>
    </r>
    <r>
      <rPr>
        <sz val="11"/>
        <color theme="1"/>
        <rFont val="Calibri"/>
        <family val="2"/>
        <scheme val="minor"/>
      </rPr>
      <t xml:space="preserve"> (page no. 122 and 315)</t>
    </r>
  </si>
  <si>
    <t xml:space="preserve">Injection molding, Compression molding, Coating, Extrusion, Laminating, Sheet forming, Blow molding, Rotational molding, Structural foam </t>
  </si>
  <si>
    <t>Injection molding, Extrusion, Sheet Forming, Blow molding, Rotational molding, Structural foam, Thermofroming</t>
  </si>
  <si>
    <t>Injection molding, Coating, Extrusion, Blow molding, Rotational molding, Thermofroming</t>
  </si>
  <si>
    <t>GWP (MT CO2-eq/MT)</t>
  </si>
  <si>
    <t>Others</t>
  </si>
  <si>
    <t>Incineration with Energy Recovery</t>
  </si>
  <si>
    <t>Plastic type</t>
  </si>
  <si>
    <t>CED (MJ/ kg of resin)</t>
  </si>
  <si>
    <t>LDPE</t>
  </si>
  <si>
    <t>LLDPE</t>
  </si>
  <si>
    <t xml:space="preserve">https://www.epa.gov/warm/documentation-chapters-greenhouse-gas-emission-energy-and-economic-factors-used-waste </t>
  </si>
  <si>
    <t>NOTE</t>
  </si>
  <si>
    <t>The values in WARM reports are based on 'U.S. Short Tons' and were converted to 'Metric Tons' to be consistent with units in our analysis. The CED factors in WARM reports are given in the units of 'MMBTU/Short Ton' and were converted to 'MJ/kg'.</t>
  </si>
  <si>
    <t>GWP (MT CO2-eq/ MT resin)</t>
  </si>
  <si>
    <t>GWP (MT CO2-eq/MT resin)</t>
  </si>
  <si>
    <t>To mechanical recycling</t>
  </si>
  <si>
    <t>Recycled resin</t>
  </si>
  <si>
    <t>MT CO2-eq</t>
  </si>
  <si>
    <t>MI contribution to U.S. PET supply chain</t>
  </si>
  <si>
    <t>MI state GHG emissiosn</t>
  </si>
  <si>
    <t>PET supply chain contribution to Michigan emissions</t>
  </si>
  <si>
    <t>National PET Supply chain GHG emissions</t>
  </si>
  <si>
    <t>Energy (MJ)</t>
  </si>
  <si>
    <t>MJ</t>
  </si>
  <si>
    <t>MI state energy consumption</t>
  </si>
  <si>
    <t>PJ</t>
  </si>
  <si>
    <t>Industrial sector energy consumption</t>
  </si>
  <si>
    <t>To Mechanical recycling</t>
  </si>
  <si>
    <t>Collection, Sorting and Baling at MRF</t>
  </si>
  <si>
    <t>GHG emissions (MT CO2-eq/MT)</t>
  </si>
  <si>
    <t>CED (MJ/MT)</t>
  </si>
  <si>
    <t>PE film compacting and baling</t>
  </si>
  <si>
    <t>PE</t>
  </si>
  <si>
    <t>MI contribution to U.S. HDPE supply chain</t>
  </si>
  <si>
    <t>HDPE supply chain contribution to Michigan emissions</t>
  </si>
  <si>
    <t>Net LDPE/LLDPE to mechanical recycling</t>
  </si>
  <si>
    <t>to mechanical recycling</t>
  </si>
  <si>
    <t>LDPE/LLDPE supply chain contribution to Michigan emissions</t>
  </si>
  <si>
    <t>MI contribution to U.S. LDPE/LLDPE supply chain</t>
  </si>
  <si>
    <t>Recycled resins</t>
  </si>
  <si>
    <t>MI contribution to U.S. PP supply chain</t>
  </si>
  <si>
    <t>National LDPE/LLDPE Supply chain GHG emissions</t>
  </si>
  <si>
    <t>National PET Supply chain energy consumption</t>
  </si>
  <si>
    <t>National HDPE supply chain energy consumption</t>
  </si>
  <si>
    <t>National HDPE supply chain GHG emissions</t>
  </si>
  <si>
    <t>National LDPE/LLDPE Supply chain energy consumption</t>
  </si>
  <si>
    <t>National PP Supply chain GHG emissions</t>
  </si>
  <si>
    <t>National PP Supply chain  energy consumption</t>
  </si>
  <si>
    <t>Transportation</t>
  </si>
  <si>
    <t>Plastics and rubber (NAICS Code 326)</t>
  </si>
  <si>
    <t>Total metrics tons of NAICS code 326 in Michigan</t>
  </si>
  <si>
    <t>Total metrics tons of NAICS code 326 in US</t>
  </si>
  <si>
    <t>Michigan contribution to US</t>
  </si>
  <si>
    <t>PET supply chain contribution to Michigan energy</t>
  </si>
  <si>
    <t>PET supply chain contribution to Michigan industrial energy</t>
  </si>
  <si>
    <t>HDPE supply chain contribution to Michigan energy</t>
  </si>
  <si>
    <t>HDPE  supply chain contribution to Michigan industrial energy</t>
  </si>
  <si>
    <t>LDPE/LLDPE supply chain contribution to Michigan energy</t>
  </si>
  <si>
    <t>LDPE/LLDPE  supply chain contribution to Michigan industrial energy</t>
  </si>
  <si>
    <t>PP supply chain contribution to Michigan energy</t>
  </si>
  <si>
    <t>PP supply chain contribution to Michigan industrial energy</t>
  </si>
  <si>
    <t>PP supply chain contribution to Michigan emissions</t>
  </si>
  <si>
    <t>PP rigid containers</t>
  </si>
  <si>
    <t>Waste at mechanical recycling</t>
  </si>
  <si>
    <t>Total R-PET produced</t>
  </si>
  <si>
    <t>Total R-HDPE</t>
  </si>
  <si>
    <t xml:space="preserve">Franklin Associates, CRADLE-TO-RESIN LIFE CYCLE ANALYSIS OF POLYETHYLENE TEREPHTHALATE RESIN Final Revised Report. Available at: https://napcor.com/wp-content/uploads/2020/05/Final-Revised-Virgin-PET-Resin-LCA.pdf </t>
  </si>
  <si>
    <t xml:space="preserve">Franklin Associates, CRADLE-TO-GATE LIFE CYCLE ANALYSIS OF HIGH-DENSITY POLYETHYLENE (HDPE) RESIN. Available at: https://www.americanchemistry.com/better-policy-regulation/plastics/resources/cradle-to-gate-life-cycle-analysis-of-high-density-polyethylene-hdpe-resin </t>
  </si>
  <si>
    <t>Franklin Associates, CRADLE-TO-GATE LIFE CYCLE ANALYSIS OF LOW-DENSITY POLYETHYLENE (LDPE) RESIN. Available at: https://www.americanchemistry.com/better-policy-regulation/plastics/resources/cradle-to-gate-life-cycle-analysis-of-low-density-polyethylene-ldpe-resin</t>
  </si>
  <si>
    <t>Franklin Associates, CRADLE-TO-GATE LIFE CYCLE ANALYSIS OF LINEAR LOW-DENSITY POLYETHYLENE (LLDPE) RESIN. Available at: https://www.americanchemistry.com/better-policy-regulation/plastics/resources/cradle-to-gate-life-cycle-analysis-of-linear-low-density-polyethylene-lldpe-resin</t>
  </si>
  <si>
    <t>Franklin Associates, CRADLE-TO-GATE LIFE CYCLE ANALYSIS OF POLYPROPYLENE (PP) RESIN. Available at: https://www.americanchemistry.com/better-policy-regulation/plastics/resources/cradle-to-gate-life-cycle-analysis-of-polypropylene-pp-resin</t>
  </si>
  <si>
    <t>Total Energy Demand (MJ/MT of resin)</t>
  </si>
  <si>
    <t>GWP (MT CO2-eq/MT of resin)</t>
  </si>
  <si>
    <t xml:space="preserve">Virgin resin </t>
  </si>
  <si>
    <t>Virgin resin</t>
  </si>
  <si>
    <t>Virgin Resins</t>
  </si>
  <si>
    <t>R-PET in ISBM</t>
  </si>
  <si>
    <t>R-Pet in others</t>
  </si>
  <si>
    <t>R-PET in thermoforms</t>
  </si>
  <si>
    <t>R-HDPE in injection molding</t>
  </si>
  <si>
    <t>R-HDPE in extrusion</t>
  </si>
  <si>
    <t>R-HDPE in blow molding</t>
  </si>
  <si>
    <t>R-HDPE in other applications</t>
  </si>
  <si>
    <t>V-HDPE Injection molding</t>
  </si>
  <si>
    <t>R-HDPE injection molding</t>
  </si>
  <si>
    <t>V-HDPE Film extrusion</t>
  </si>
  <si>
    <t>R-HDPE film extrusion</t>
  </si>
  <si>
    <t>R-HDPE sheet extrusion</t>
  </si>
  <si>
    <t>V-HDPE Pipe extrusion</t>
  </si>
  <si>
    <t>R-HDPE pipe extrusion</t>
  </si>
  <si>
    <t>V-HDPE Blow Molding</t>
  </si>
  <si>
    <t>R-HDPE blow molding</t>
  </si>
  <si>
    <t>R-HDPE in others</t>
  </si>
  <si>
    <t>V-HDPE Sheet extrusion</t>
  </si>
  <si>
    <t>V-HDPE Other applications</t>
  </si>
  <si>
    <t>Virgin HDPE Total extrusion</t>
  </si>
  <si>
    <t>R-HDPE total extrusion</t>
  </si>
  <si>
    <t>Mass (MT)</t>
  </si>
  <si>
    <t>MI contribution to US GDP of plastics product mfg, NAICS codes 3261</t>
  </si>
  <si>
    <t xml:space="preserve">Collection for recycling </t>
  </si>
  <si>
    <t>Processing of plastic recyclables</t>
  </si>
  <si>
    <t>Material: Plastics</t>
  </si>
  <si>
    <t>Collection</t>
  </si>
  <si>
    <t xml:space="preserve">Manufacturing </t>
  </si>
  <si>
    <t>Jobs created in Michigan</t>
  </si>
  <si>
    <t>Incineration</t>
  </si>
  <si>
    <t>Collection for landfilling</t>
  </si>
  <si>
    <t>Collection for incineration</t>
  </si>
  <si>
    <t>Landfill rate with increased recovery</t>
  </si>
  <si>
    <t>Incineration rate with increased recovery</t>
  </si>
  <si>
    <t>Wages ($ MM)</t>
  </si>
  <si>
    <t>Revenue ($ MM)</t>
  </si>
  <si>
    <t>Employment</t>
  </si>
  <si>
    <t>NAICS Code</t>
  </si>
  <si>
    <t>Description</t>
  </si>
  <si>
    <t>Waste Collection Services in the US</t>
  </si>
  <si>
    <t>Revenue ($MM)</t>
  </si>
  <si>
    <t>Revenue per Employee ($MM/employee)</t>
  </si>
  <si>
    <t>Wages per Revenue (%)</t>
  </si>
  <si>
    <t>Waste Collection Services in Michigan</t>
  </si>
  <si>
    <t>Link</t>
  </si>
  <si>
    <t>Recycling Facilities in the US</t>
  </si>
  <si>
    <t>Recycling Facilities in Michigan</t>
  </si>
  <si>
    <t>Waste Treatment &amp; Disposal Services in the US</t>
  </si>
  <si>
    <t>Waste Treatment &amp; Disposal Services in Michigan</t>
  </si>
  <si>
    <t>Plastic Products Miscellaneous Manufacturing in the US</t>
  </si>
  <si>
    <t>Plastic Bottle Manufacturing in the US</t>
  </si>
  <si>
    <t>Laminated Plastics Manufacturing in the US</t>
  </si>
  <si>
    <t>Plastic Pipe &amp; Parts Manufacturing in the US</t>
  </si>
  <si>
    <t>Plastic Film, Sheet &amp; Bag Manufacturing in the US</t>
  </si>
  <si>
    <t>Plastic Film, Sheet &amp; Bag Manufacturing in Michigan</t>
  </si>
  <si>
    <t xml:space="preserve">Plastic Pipe &amp; Parts Manufacturing in Michigan </t>
  </si>
  <si>
    <t>Laminated Plastics Manufacturing in Michigan</t>
  </si>
  <si>
    <t>Plastic Bottle Manufacturing in Michigan</t>
  </si>
  <si>
    <t>Plastic Products Miscellaneous Manufacturing in Michigan</t>
  </si>
  <si>
    <t>Collection for recycling</t>
  </si>
  <si>
    <t>MI Revenue_NAICS code 32619 Plastic Products Miscellaneous Manufacturing in Michigan ($ MM)</t>
  </si>
  <si>
    <t>US Revenue_NAICS code 32619 Plastic Products Miscellaneous Manufacturing in the US ($ MM)</t>
  </si>
  <si>
    <t>US Employment_Bottle mfg NAICS Code 32616 Plastic Bottle Manufacturing in the US</t>
  </si>
  <si>
    <t>MI Employment_Bottle mfg_NAICS Code 32616 Plastic Bottle Manufacturing in Michigan</t>
  </si>
  <si>
    <t>MI Revenue_Bottle mfg ($ MM) NAICS Code 32616 Plastic Bottle Manufacturing in Michigan</t>
  </si>
  <si>
    <t>US Revenue_Bottle mfg ($ MM) NAICS Code 32616 Plastic Bottle Manufacturing in the US</t>
  </si>
  <si>
    <t>Recycling</t>
  </si>
  <si>
    <t>Landfilling</t>
  </si>
  <si>
    <t>Wages ($MM)</t>
  </si>
  <si>
    <t>Total (Manufacturing)</t>
  </si>
  <si>
    <t>Avg. Wage ($)</t>
  </si>
  <si>
    <t>Due to lack of U.S. LCA data on post-industrial plastic waste, authors assumed to be 10% of loss, which is 50% of waste produced during mechanical recycling of post-consumer waste. Post-industrial plastic waste is comparatively clean or high-quality than post-consumer waste, and therefore would require much less pretreatment cleaning steps.</t>
  </si>
  <si>
    <t>Wages per Employee ($MM /employee)</t>
  </si>
  <si>
    <t>Total HDPE and LDPE/LLDPE collected for recycling in MI</t>
  </si>
  <si>
    <t>Net PP to mechanical recycling</t>
  </si>
  <si>
    <t>Total R-LDPE/LLDPE</t>
  </si>
  <si>
    <t>Total R-PP</t>
  </si>
  <si>
    <t>Plastic &amp; Resin Manufacturing in the US</t>
  </si>
  <si>
    <t>Virgin Resin Production (MMT)</t>
  </si>
  <si>
    <t>Jobs Created</t>
  </si>
  <si>
    <t>US, 2019 ($ Values are inflation adjusted to 2023)</t>
  </si>
  <si>
    <t>Michigan, 2019 ($ Values are inflation adjusted to 2023)</t>
  </si>
  <si>
    <t>NextCycle</t>
  </si>
  <si>
    <t>22% in injection molding</t>
  </si>
  <si>
    <t>31.5 % in film extrusion</t>
  </si>
  <si>
    <t>31.5 % in other etruded products</t>
  </si>
  <si>
    <t>15% in other applications</t>
  </si>
  <si>
    <t>75% blow molding</t>
  </si>
  <si>
    <t>25% injection molding</t>
  </si>
  <si>
    <t>Base scenario</t>
  </si>
  <si>
    <t>Base Case</t>
  </si>
  <si>
    <t>Oil drilling and Gas Extraction in the US</t>
  </si>
  <si>
    <t>Petroleum Refining in the US</t>
  </si>
  <si>
    <t>OD 5404</t>
  </si>
  <si>
    <t>Natural gas liquid processing in the US</t>
  </si>
  <si>
    <t>Petrochemical Manufacturing in the US</t>
  </si>
  <si>
    <t>Employment per MT</t>
  </si>
  <si>
    <t>Revenue ($) per MT</t>
  </si>
  <si>
    <t>Wages ($) per MT</t>
  </si>
  <si>
    <t>Crude oil</t>
  </si>
  <si>
    <t>Feedstock</t>
  </si>
  <si>
    <t>Higher Heating value (GJ/MT)</t>
  </si>
  <si>
    <t>GJ/MT of resin (Cradle-to-gate)</t>
  </si>
  <si>
    <t>MT/MT of resin (Cradle-to-gate)</t>
  </si>
  <si>
    <t>Production</t>
  </si>
  <si>
    <t>Total consumed by petroleum refineries</t>
  </si>
  <si>
    <t>Units</t>
  </si>
  <si>
    <t>Thousand Barrel per year</t>
  </si>
  <si>
    <t>Barrel</t>
  </si>
  <si>
    <t>Billion cubic feet of NG</t>
  </si>
  <si>
    <t>LHV of NG</t>
  </si>
  <si>
    <t>MJ/kg</t>
  </si>
  <si>
    <t>PJ/kg</t>
  </si>
  <si>
    <t>PJ/MT</t>
  </si>
  <si>
    <t>Value</t>
  </si>
  <si>
    <t>Barrels</t>
  </si>
  <si>
    <t>Exports</t>
  </si>
  <si>
    <t>Imports</t>
  </si>
  <si>
    <t>Net Trade (imports-exports)</t>
  </si>
  <si>
    <t>Crude Oil, 2019</t>
  </si>
  <si>
    <t>Natural Gas, 2019</t>
  </si>
  <si>
    <t>Natural Gas Gross Withdrawals and Production</t>
  </si>
  <si>
    <t>Million Cubic Feet</t>
  </si>
  <si>
    <t>PJ of NG (LHV)</t>
  </si>
  <si>
    <t>Billion cubic feet</t>
  </si>
  <si>
    <t>Employment per MT of resin</t>
  </si>
  <si>
    <t>Total employment</t>
  </si>
  <si>
    <t>32521_Modified</t>
  </si>
  <si>
    <t>Plastic &amp; Resin Manufacturing in the US_modified</t>
  </si>
  <si>
    <t>Total virgin plastic resins produced in the US</t>
  </si>
  <si>
    <t>NAICS code</t>
  </si>
  <si>
    <t>Revenue per MT of resin</t>
  </si>
  <si>
    <t>Total Revenue</t>
  </si>
  <si>
    <t>Wages per MT of resin</t>
  </si>
  <si>
    <t>Total Wages</t>
  </si>
  <si>
    <t>Upstream</t>
  </si>
  <si>
    <t>Virgin Resin production Only</t>
  </si>
  <si>
    <t xml:space="preserve">Total </t>
  </si>
  <si>
    <t>Total crude oil and natural gas extracted in the US</t>
  </si>
  <si>
    <t>Virgin Resin</t>
  </si>
  <si>
    <t xml:space="preserve">Revenues </t>
  </si>
  <si>
    <t>From Chaudhari et al., 2022</t>
  </si>
  <si>
    <t xml:space="preserve">Total Jobs created per MT of Virgin Resins </t>
  </si>
  <si>
    <t xml:space="preserve">Total Revenues per MT of Virgin Resins </t>
  </si>
  <si>
    <t>Wages</t>
  </si>
  <si>
    <t xml:space="preserve">Total Wages per MT of Virgin Resins </t>
  </si>
  <si>
    <t>Wages/MT</t>
  </si>
  <si>
    <t>Revenue/ MT</t>
  </si>
  <si>
    <t>Jobs/MT</t>
  </si>
  <si>
    <t>Recycled Resins</t>
  </si>
  <si>
    <t>Revenue/MT</t>
  </si>
  <si>
    <t>From ACC 2019 Resin Review Report</t>
  </si>
  <si>
    <t>No. of jobs per MT of virgin resins</t>
  </si>
  <si>
    <t>Revenue per MT of virgin resins</t>
  </si>
  <si>
    <t>Wages per MT of virgin resins</t>
  </si>
  <si>
    <t>No. of U.S. jobs created per Metric ton</t>
  </si>
  <si>
    <t>US</t>
  </si>
  <si>
    <t>MI</t>
  </si>
  <si>
    <t>Processing &amp; Recycling</t>
  </si>
  <si>
    <t>Net</t>
  </si>
  <si>
    <t xml:space="preserve">Net </t>
  </si>
  <si>
    <t>Disposal</t>
  </si>
  <si>
    <t>Total Metrics at EOL</t>
  </si>
  <si>
    <t>Landfilled waste</t>
  </si>
  <si>
    <t>Incinerated waste</t>
  </si>
  <si>
    <t>Mechanical recycling (Cradle-to-gate; Collection, sorting, baling, transportation to reclaimer, and reclaimer processes )</t>
  </si>
  <si>
    <t>Refer to Methods section</t>
  </si>
  <si>
    <t>Refer to methods section</t>
  </si>
  <si>
    <t>Avoided emissions</t>
  </si>
  <si>
    <t>Avoided energy</t>
  </si>
  <si>
    <t>MI state GHG emissions (2019)</t>
  </si>
  <si>
    <t>National PET Supply chain GHG emissions (2019)</t>
  </si>
  <si>
    <t>MI state energy consumption (2019)</t>
  </si>
  <si>
    <t>Industrial sector energy consumption (2019)</t>
  </si>
  <si>
    <t>National PET Supply chain energy consumption (2019)</t>
  </si>
  <si>
    <t xml:space="preserve">Assumed same as that of U.S. end-use applications due to lack of data, Chaudhari et al., 2022 </t>
  </si>
  <si>
    <t>Same as that of applications of V-PET based on the availability of converters</t>
  </si>
  <si>
    <t>MMT, Chaudhari et al., 2022</t>
  </si>
  <si>
    <t>MMT, Chaudhari et al 2022</t>
  </si>
  <si>
    <t>1 US ton is equal to</t>
  </si>
  <si>
    <t>Mass (Metric Tons, MT)</t>
  </si>
  <si>
    <t xml:space="preserve">Mechanical recycling (Gate-to-gate; Exlcuding collection, sorting and baling at MRF) </t>
  </si>
  <si>
    <t>1. All of the values mentioned above were obtained from Simparo software and Ecoinvent 3.3 database. 2. The electricity profile was updated to represent 2020 Michigan grid (see Methods section of the manuscript for the distribution)</t>
  </si>
  <si>
    <t>Deposit containers (Compacting and baling); Electricity grid updated to represent Michigan average electricity grid mix</t>
  </si>
  <si>
    <t>Based on Franklin Associates Report (referenced in Manuscript, Table 1)</t>
  </si>
  <si>
    <t>GWP (MT CO2-eq/ MT baled resin)</t>
  </si>
  <si>
    <t>CED (MJ/ MT of baled resin)</t>
  </si>
  <si>
    <t>GWP (MT CO2-eq/ MT recycled resin)</t>
  </si>
  <si>
    <t>CED (MJ/ MT of recycled resin)</t>
  </si>
  <si>
    <t>Michigan GDP of plastics and rubber product mfg ($ MM), 6th state, NAICS Code 326 (OH, IL, TX, CA, PA, MI)</t>
  </si>
  <si>
    <t>U.S. GDP of plastics and rubber product mfg ($ MM), NAICS Code 326</t>
  </si>
  <si>
    <t>Michigan contribution to US GDP of plastics and rubber product mfg, NAICS codes 326</t>
  </si>
  <si>
    <t>Michigan Employment in plastic product mfg, NAICS Code 3261</t>
  </si>
  <si>
    <t>U.S. employment in plastic and product mfg, NAICS Code 3261</t>
  </si>
  <si>
    <t>Avg. contribution of MI by GDP and Employment</t>
  </si>
  <si>
    <t>Michigan contribution to US GDP of plastics product mfg, NAICS codes 3261</t>
  </si>
  <si>
    <t>Avg. contribution of Michigan by GDP and Employment</t>
  </si>
  <si>
    <t>Michigan Employment_All other plastic product mfg NAICS code 326199</t>
  </si>
  <si>
    <t>U.S. Employment_All other plastic product mfg NAICS code 326199</t>
  </si>
  <si>
    <t>Michigan contribution</t>
  </si>
  <si>
    <t>Michigan Revenue_NAICS code 32619 Plastic Products Miscellaneous Manufacturing in Michigan ($ MM)</t>
  </si>
  <si>
    <t>U.S. Revenue_NAICS code 32619 Plastic Products Miscellaneous Manufacturing in the US ($ MM)</t>
  </si>
  <si>
    <t>Michigan Employment_Bottle mfg_NAICS Code 32616 Plastic Bottle Manufacturing in Michigan</t>
  </si>
  <si>
    <t>U.S. Employment_Bottle mfg NAICS Code 32616 Plastic Bottle Manufacturing in the US</t>
  </si>
  <si>
    <t>Michigan Revenue_Bottle mfg ($ MM) NAICS Code 32616 Plastic Bottle Manufacturing in Michigan</t>
  </si>
  <si>
    <t>U.S. Revenue_Bottle mfg ($ MM) NAICS Code 32616 Plastic Bottle Manufacturing in the US</t>
  </si>
  <si>
    <t xml:space="preserve">Applications of PET in Michigan based on average employment and revenue </t>
  </si>
  <si>
    <t>Michigan no. of thermoformers</t>
  </si>
  <si>
    <t>U.S. no. of thermoformers</t>
  </si>
  <si>
    <t>Michigan no. of bottle converters</t>
  </si>
  <si>
    <t>U.S. no. of bottle converters</t>
  </si>
  <si>
    <t>Michigan (MI) GDP of plastics and rubber product mfg ($ MM), 6th state, NAICS Code 326 (OH, IL, TX, CA, PA, MI)</t>
  </si>
  <si>
    <t>Michigan (MI) GDP of plastics and rubber product mfg ($ MM), 6th state, NAICS Code 326</t>
  </si>
  <si>
    <t>mass balance</t>
  </si>
  <si>
    <t>NextCycle recovery</t>
  </si>
  <si>
    <t>https://static1.squarespace.com/static/623ba5dc2405f749aa2dc3b1/t/62475e7c7e5efb6fbf15d5b7/1648844418638/2021-Gap-Analysis-Update-FINAL.pdf</t>
  </si>
  <si>
    <t>Michigan contribution to US NAICS code 326199 by employment</t>
  </si>
  <si>
    <t>Michigan contribution to US NAICS code 32619 by revenue</t>
  </si>
  <si>
    <t>Michigan contribution to US NAICS code 32616 by employment</t>
  </si>
  <si>
    <t>Michigan contribution to US NAICS code 32616 by revenue</t>
  </si>
  <si>
    <t>Applications of PET in Michigan based on no. of converters (not used in this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</si>
</sst>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_(&quot;$&quot;* \(#,##0.00\);_(&quot;$&quot;* &quot;-&quot;??_);_(@_)"/>
    <numFmt numFmtId="43" formatCode="_(* #,##0.00_);_(* \(#,##0.00\);_(* &quot;-&quot;??_);_(@_)"/>
    <numFmt numFmtId="164" formatCode="_(* #,##0_);_(* \(#,##0\);_(* &quot;-&quot;??_);_(@_)"/>
    <numFmt numFmtId="165" formatCode="0.00000"/>
    <numFmt numFmtId="166" formatCode="_(* #,##0_);_(* \(#,##0\);_(* &quot;-&quot;?????_);_(@_)"/>
    <numFmt numFmtId="167" formatCode="0.000"/>
    <numFmt numFmtId="168" formatCode="_(* #,##0_);_(* \(#,##0\);_(* &quot;-&quot;?_);_(@_)"/>
    <numFmt numFmtId="169" formatCode="0.000000"/>
    <numFmt numFmtId="170" formatCode="0.0000"/>
    <numFmt numFmtId="171" formatCode="0.0%"/>
    <numFmt numFmtId="172" formatCode="_(* #,##0.0_);_(* \(#,##0.0\);_(* &quot;-&quot;??_);_(@_)"/>
    <numFmt numFmtId="173" formatCode="0.0"/>
    <numFmt numFmtId="174" formatCode="#,##0.000"/>
    <numFmt numFmtId="175" formatCode="_(* #,##0.0000_);_(* \(#,##0.0000\);_(* &quot;-&quot;??_);_(@_)"/>
    <numFmt numFmtId="176" formatCode="_(* #,##0.00000_);_(* \(#,##0.00000\);_(* &quot;-&quot;??_);_(@_)"/>
    <numFmt numFmtId="177" formatCode="0.000000000000000%"/>
    <numFmt numFmtId="178" formatCode="_(&quot;$&quot;* #,##0.0_);_(&quot;$&quot;* \(#,##0.0\);_(&quot;$&quot;* &quot;-&quot;??_);_(@_)"/>
    <numFmt numFmtId="179" formatCode="_(&quot;$&quot;* #,##0_);_(&quot;$&quot;* \(#,##0\);_(&quot;$&quot;* &quot;-&quot;??_);_(@_)"/>
    <numFmt numFmtId="180" formatCode="_(* #,##0.000_);_(* \(#,##0.000\);_(* &quot;-&quot;??_);_(@_)"/>
    <numFmt numFmtId="181" formatCode="_(* #,##0.000000_);_(* \(#,##0.000000\);_(* &quot;-&quot;??_);_(@_)"/>
    <numFmt numFmtId="182" formatCode="_(* #,##0.00000000_);_(* \(#,##0.00000000\);_(* &quot;-&quot;??_);_(@_)"/>
    <numFmt numFmtId="183" formatCode="0.0000000"/>
    <numFmt numFmtId="184" formatCode="_(* #,##0.0000000_);_(* \(#,##0.0000000\);_(* &quot;-&quot;??_);_(@_)"/>
  </numFmts>
  <fonts count="1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color rgb="FF000000"/>
      <name val="Calibri"/>
      <family val="2"/>
    </font>
    <font>
      <i/>
      <sz val="11"/>
      <color theme="1"/>
      <name val="Calibri"/>
      <family val="2"/>
      <scheme val="minor"/>
    </font>
    <font>
      <sz val="10"/>
      <color theme="1"/>
      <name val="Arial"/>
      <family val="2"/>
    </font>
    <font>
      <sz val="9"/>
      <color theme="1"/>
      <name val="Roboto"/>
    </font>
    <font>
      <b/>
      <sz val="10"/>
      <color theme="1"/>
      <name val="Arial"/>
      <family val="2"/>
    </font>
    <font>
      <u/>
      <sz val="11"/>
      <color theme="4"/>
      <name val="Calibri"/>
      <family val="2"/>
      <scheme val="minor"/>
    </font>
    <font>
      <sz val="9"/>
      <color indexed="81"/>
      <name val="Tahoma"/>
      <family val="2"/>
    </font>
    <font>
      <b/>
      <sz val="11"/>
      <name val="Calibri"/>
      <family val="2"/>
      <scheme val="minor"/>
    </font>
    <font>
      <sz val="11"/>
      <color rgb="FF222222"/>
      <name val="Calibri"/>
      <family val="2"/>
      <scheme val="minor"/>
    </font>
    <font>
      <b/>
      <i/>
      <sz val="9"/>
      <color indexed="81"/>
      <name val="Tahoma"/>
      <family val="2"/>
    </font>
    <font>
      <b/>
      <u/>
      <sz val="9"/>
      <color indexed="81"/>
      <name val="Tahoma"/>
      <family val="2"/>
    </font>
    <font>
      <b/>
      <sz val="11"/>
      <color rgb="FFFF0000"/>
      <name val="Calibri"/>
      <family val="2"/>
      <scheme val="minor"/>
    </font>
    <font>
      <sz val="11"/>
      <color rgb="FFFF0000"/>
      <name val="Calibri"/>
      <family val="2"/>
      <scheme val="minor"/>
    </font>
    <font>
      <sz val="8"/>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99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B3C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
      <left/>
      <right style="thin">
        <color indexed="64"/>
      </right>
      <top/>
      <bottom/>
      <diagonal/>
    </border>
    <border>
      <left/>
      <right/>
      <top style="thin">
        <color indexed="64"/>
      </top>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0" fontId="4" fillId="0" borderId="0"/>
    <xf numFmtId="9" fontId="3" fillId="0" borderId="0" applyFont="0" applyFill="0" applyBorder="0" applyAlignment="0" applyProtection="0"/>
    <xf numFmtId="44" fontId="3" fillId="0" borderId="0" applyFont="0" applyFill="0" applyBorder="0" applyAlignment="0" applyProtection="0"/>
  </cellStyleXfs>
  <cellXfs count="322">
    <xf numFmtId="0" fontId="0" fillId="0" borderId="0" xfId="0"/>
    <xf numFmtId="0" fontId="0" fillId="0" borderId="0" xfId="0" applyAlignment="1">
      <alignment horizontal="center" vertical="center"/>
    </xf>
    <xf numFmtId="0" fontId="0" fillId="0" borderId="0" xfId="0" applyAlignment="1">
      <alignment horizontal="left"/>
    </xf>
    <xf numFmtId="0" fontId="2" fillId="0" borderId="0" xfId="1"/>
    <xf numFmtId="2" fontId="0" fillId="0" borderId="0" xfId="0" applyNumberFormat="1" applyAlignment="1">
      <alignment horizontal="center" vertical="center"/>
    </xf>
    <xf numFmtId="2" fontId="0" fillId="0" borderId="0" xfId="0" applyNumberFormat="1"/>
    <xf numFmtId="2" fontId="0" fillId="0" borderId="0" xfId="0" applyNumberFormat="1" applyAlignment="1">
      <alignment horizontal="center"/>
    </xf>
    <xf numFmtId="164" fontId="0" fillId="0" borderId="0" xfId="2" applyNumberFormat="1" applyFont="1"/>
    <xf numFmtId="164" fontId="0" fillId="0" borderId="0" xfId="0" applyNumberFormat="1"/>
    <xf numFmtId="0" fontId="1" fillId="0" borderId="0" xfId="0" applyFont="1" applyAlignment="1">
      <alignment horizontal="center" vertical="center"/>
    </xf>
    <xf numFmtId="0" fontId="1" fillId="0" borderId="0" xfId="0" applyFont="1"/>
    <xf numFmtId="43" fontId="0" fillId="0" borderId="0" xfId="0" applyNumberFormat="1"/>
    <xf numFmtId="164" fontId="1" fillId="0" borderId="0" xfId="0" applyNumberFormat="1" applyFont="1"/>
    <xf numFmtId="9" fontId="0" fillId="0" borderId="0" xfId="4" applyFont="1"/>
    <xf numFmtId="0" fontId="0" fillId="0" borderId="0" xfId="0" applyAlignment="1">
      <alignment horizont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0" fillId="0" borderId="10" xfId="0" applyBorder="1" applyAlignment="1">
      <alignment horizontal="center" vertical="center" wrapText="1"/>
    </xf>
    <xf numFmtId="164" fontId="0" fillId="0" borderId="10" xfId="2" applyNumberFormat="1" applyFont="1" applyBorder="1" applyAlignment="1">
      <alignment horizontal="center" vertical="center"/>
    </xf>
    <xf numFmtId="164" fontId="0" fillId="0" borderId="11" xfId="2" applyNumberFormat="1" applyFont="1" applyBorder="1" applyAlignment="1">
      <alignment horizontal="center" vertical="center"/>
    </xf>
    <xf numFmtId="1" fontId="3" fillId="0" borderId="0" xfId="4" applyNumberFormat="1" applyFont="1" applyAlignment="1">
      <alignment horizontal="center" vertical="center"/>
    </xf>
    <xf numFmtId="9" fontId="0" fillId="0" borderId="0" xfId="4" applyFont="1" applyAlignment="1">
      <alignment horizontal="center" vertical="center"/>
    </xf>
    <xf numFmtId="0" fontId="0" fillId="2" borderId="10" xfId="0" applyFill="1" applyBorder="1" applyAlignment="1">
      <alignment horizontal="center" vertical="center" wrapText="1"/>
    </xf>
    <xf numFmtId="164" fontId="0" fillId="2" borderId="10" xfId="2" applyNumberFormat="1" applyFont="1" applyFill="1" applyBorder="1" applyAlignment="1">
      <alignment horizontal="center" vertical="center" wrapText="1"/>
    </xf>
    <xf numFmtId="164" fontId="0" fillId="2" borderId="10" xfId="2" applyNumberFormat="1" applyFont="1" applyFill="1" applyBorder="1" applyAlignment="1">
      <alignment horizontal="center" vertical="center"/>
    </xf>
    <xf numFmtId="164" fontId="0" fillId="2" borderId="11" xfId="2" applyNumberFormat="1" applyFont="1" applyFill="1" applyBorder="1" applyAlignment="1">
      <alignment horizontal="center" vertical="center"/>
    </xf>
    <xf numFmtId="1" fontId="3" fillId="2" borderId="0" xfId="4" applyNumberFormat="1" applyFont="1" applyFill="1" applyAlignment="1">
      <alignment horizontal="center" vertical="center"/>
    </xf>
    <xf numFmtId="0" fontId="0" fillId="3" borderId="10" xfId="0" applyFill="1" applyBorder="1" applyAlignment="1">
      <alignment horizontal="center" vertical="center" wrapText="1"/>
    </xf>
    <xf numFmtId="164" fontId="0" fillId="3" borderId="10" xfId="2" applyNumberFormat="1" applyFont="1" applyFill="1" applyBorder="1" applyAlignment="1">
      <alignment horizontal="center" vertical="center" wrapText="1"/>
    </xf>
    <xf numFmtId="164" fontId="0" fillId="3" borderId="10" xfId="2" applyNumberFormat="1" applyFont="1" applyFill="1" applyBorder="1" applyAlignment="1">
      <alignment horizontal="center" vertical="center"/>
    </xf>
    <xf numFmtId="164" fontId="0" fillId="3" borderId="11" xfId="2" applyNumberFormat="1" applyFont="1" applyFill="1" applyBorder="1" applyAlignment="1">
      <alignment horizontal="center" vertical="center"/>
    </xf>
    <xf numFmtId="1" fontId="3" fillId="3" borderId="0" xfId="4" applyNumberFormat="1" applyFont="1" applyFill="1" applyAlignment="1">
      <alignment horizontal="center" vertical="center"/>
    </xf>
    <xf numFmtId="0" fontId="0" fillId="4" borderId="10" xfId="0" applyFill="1" applyBorder="1" applyAlignment="1">
      <alignment horizontal="center" vertical="center"/>
    </xf>
    <xf numFmtId="164" fontId="0" fillId="4" borderId="10" xfId="2" applyNumberFormat="1" applyFont="1" applyFill="1" applyBorder="1" applyAlignment="1">
      <alignment horizontal="center" vertical="center"/>
    </xf>
    <xf numFmtId="164" fontId="0" fillId="4" borderId="11" xfId="2" applyNumberFormat="1" applyFont="1" applyFill="1" applyBorder="1" applyAlignment="1">
      <alignment horizontal="center" vertical="center"/>
    </xf>
    <xf numFmtId="1" fontId="3" fillId="4" borderId="0" xfId="4" applyNumberFormat="1" applyFont="1" applyFill="1" applyAlignment="1">
      <alignment horizontal="center" vertical="center"/>
    </xf>
    <xf numFmtId="0" fontId="0" fillId="5" borderId="13" xfId="0" applyFill="1" applyBorder="1" applyAlignment="1">
      <alignment horizontal="center" vertical="center" wrapText="1"/>
    </xf>
    <xf numFmtId="164" fontId="0" fillId="5" borderId="13" xfId="2" applyNumberFormat="1" applyFont="1" applyFill="1" applyBorder="1" applyAlignment="1">
      <alignment horizontal="center" vertical="center" wrapText="1"/>
    </xf>
    <xf numFmtId="164" fontId="0" fillId="5" borderId="13" xfId="2" applyNumberFormat="1" applyFont="1" applyFill="1" applyBorder="1" applyAlignment="1">
      <alignment horizontal="center" vertical="center"/>
    </xf>
    <xf numFmtId="164" fontId="0" fillId="5" borderId="14" xfId="2" applyNumberFormat="1" applyFont="1" applyFill="1" applyBorder="1" applyAlignment="1">
      <alignment horizontal="center" vertical="center"/>
    </xf>
    <xf numFmtId="1" fontId="3" fillId="5" borderId="0" xfId="4" applyNumberFormat="1" applyFont="1" applyFill="1" applyAlignment="1">
      <alignment horizontal="center" vertical="center"/>
    </xf>
    <xf numFmtId="0" fontId="0" fillId="0" borderId="5" xfId="0" applyBorder="1" applyAlignment="1">
      <alignment horizontal="center" vertical="center" wrapText="1"/>
    </xf>
    <xf numFmtId="164" fontId="0" fillId="0" borderId="5" xfId="2" applyNumberFormat="1" applyFont="1" applyBorder="1" applyAlignment="1">
      <alignment horizontal="center" vertical="center"/>
    </xf>
    <xf numFmtId="164" fontId="0" fillId="0" borderId="15" xfId="2" applyNumberFormat="1" applyFont="1" applyBorder="1" applyAlignment="1">
      <alignment horizontal="center" vertical="center"/>
    </xf>
    <xf numFmtId="164" fontId="0" fillId="4" borderId="10" xfId="2" applyNumberFormat="1" applyFont="1" applyFill="1" applyBorder="1" applyAlignment="1">
      <alignment horizontal="center" vertical="center" wrapText="1"/>
    </xf>
    <xf numFmtId="0" fontId="0" fillId="5" borderId="17" xfId="0" applyFill="1" applyBorder="1" applyAlignment="1">
      <alignment horizontal="center" vertical="center" wrapText="1"/>
    </xf>
    <xf numFmtId="164" fontId="0" fillId="5" borderId="17" xfId="2" applyNumberFormat="1" applyFont="1" applyFill="1" applyBorder="1" applyAlignment="1">
      <alignment horizontal="center" vertical="center" wrapText="1"/>
    </xf>
    <xf numFmtId="164" fontId="0" fillId="5" borderId="17" xfId="2" applyNumberFormat="1" applyFont="1" applyFill="1" applyBorder="1" applyAlignment="1">
      <alignment horizontal="center" vertical="center"/>
    </xf>
    <xf numFmtId="164" fontId="0" fillId="5" borderId="18" xfId="2" applyNumberFormat="1" applyFont="1" applyFill="1" applyBorder="1" applyAlignment="1">
      <alignment horizontal="center" vertical="center"/>
    </xf>
    <xf numFmtId="164" fontId="0" fillId="5" borderId="10" xfId="2" applyNumberFormat="1" applyFont="1" applyFill="1" applyBorder="1" applyAlignment="1">
      <alignment horizontal="center" vertical="center"/>
    </xf>
    <xf numFmtId="0" fontId="0" fillId="6" borderId="0" xfId="0" applyFill="1" applyAlignment="1">
      <alignment horizontal="left" vertical="center"/>
    </xf>
    <xf numFmtId="0" fontId="0" fillId="7" borderId="0" xfId="0" applyFill="1" applyAlignment="1">
      <alignment wrapText="1"/>
    </xf>
    <xf numFmtId="0" fontId="0" fillId="8" borderId="0" xfId="0" applyFill="1" applyAlignment="1">
      <alignment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28" xfId="0" applyBorder="1" applyAlignment="1">
      <alignment vertical="center" wrapText="1"/>
    </xf>
    <xf numFmtId="164" fontId="0" fillId="7" borderId="29" xfId="2" applyNumberFormat="1" applyFont="1" applyFill="1" applyBorder="1" applyAlignment="1">
      <alignment horizontal="center" vertical="center"/>
    </xf>
    <xf numFmtId="0" fontId="0" fillId="0" borderId="30" xfId="0" applyBorder="1"/>
    <xf numFmtId="0" fontId="5" fillId="0" borderId="31" xfId="0" applyFont="1" applyBorder="1" applyAlignment="1">
      <alignment vertical="center" wrapText="1"/>
    </xf>
    <xf numFmtId="164" fontId="0" fillId="7" borderId="0" xfId="2" applyNumberFormat="1" applyFont="1" applyFill="1" applyBorder="1" applyAlignment="1">
      <alignment horizontal="center" vertical="center"/>
    </xf>
    <xf numFmtId="0" fontId="0" fillId="8" borderId="0" xfId="0" applyFill="1" applyAlignment="1">
      <alignment horizontal="center" vertical="center" wrapText="1"/>
    </xf>
    <xf numFmtId="164" fontId="0" fillId="0" borderId="32" xfId="2" applyNumberFormat="1" applyFont="1" applyBorder="1" applyAlignment="1">
      <alignment horizontal="center" vertical="center"/>
    </xf>
    <xf numFmtId="0" fontId="5" fillId="0" borderId="31" xfId="0" applyFont="1" applyBorder="1" applyAlignment="1">
      <alignment horizontal="left" vertical="center" wrapText="1"/>
    </xf>
    <xf numFmtId="0" fontId="0" fillId="0" borderId="31" xfId="0" applyBorder="1" applyAlignment="1">
      <alignment horizontal="left" vertical="center"/>
    </xf>
    <xf numFmtId="164" fontId="0" fillId="6" borderId="0" xfId="2" applyNumberFormat="1" applyFont="1" applyFill="1" applyBorder="1" applyAlignment="1">
      <alignment horizontal="center" vertical="center"/>
    </xf>
    <xf numFmtId="0" fontId="0" fillId="0" borderId="31" xfId="0" applyBorder="1" applyAlignment="1">
      <alignment vertical="center" wrapText="1"/>
    </xf>
    <xf numFmtId="164" fontId="0" fillId="0" borderId="32" xfId="2" applyNumberFormat="1" applyFont="1" applyBorder="1"/>
    <xf numFmtId="0" fontId="0" fillId="0" borderId="31" xfId="0" applyBorder="1" applyAlignment="1">
      <alignment vertical="center"/>
    </xf>
    <xf numFmtId="0" fontId="1" fillId="0" borderId="33" xfId="0" applyFont="1" applyBorder="1"/>
    <xf numFmtId="164" fontId="1" fillId="7" borderId="34" xfId="0" applyNumberFormat="1" applyFont="1" applyFill="1" applyBorder="1"/>
    <xf numFmtId="164" fontId="1" fillId="6" borderId="34" xfId="0" applyNumberFormat="1" applyFont="1" applyFill="1" applyBorder="1"/>
    <xf numFmtId="164" fontId="1" fillId="6" borderId="35" xfId="0" applyNumberFormat="1" applyFont="1" applyFill="1" applyBorder="1"/>
    <xf numFmtId="0" fontId="0" fillId="0" borderId="32" xfId="0" applyBorder="1"/>
    <xf numFmtId="0" fontId="5" fillId="0" borderId="31" xfId="0" applyFont="1" applyBorder="1"/>
    <xf numFmtId="164" fontId="0" fillId="0" borderId="0" xfId="2" applyNumberFormat="1" applyFont="1" applyBorder="1" applyAlignment="1">
      <alignment horizontal="center" vertical="center"/>
    </xf>
    <xf numFmtId="0" fontId="0" fillId="0" borderId="31" xfId="0" applyBorder="1"/>
    <xf numFmtId="0" fontId="5" fillId="7" borderId="31" xfId="0" applyFont="1" applyFill="1" applyBorder="1" applyAlignment="1">
      <alignment horizontal="left" vertical="center" wrapText="1"/>
    </xf>
    <xf numFmtId="0" fontId="0" fillId="0" borderId="31" xfId="0" applyBorder="1" applyAlignment="1">
      <alignment wrapText="1"/>
    </xf>
    <xf numFmtId="1" fontId="0" fillId="8" borderId="0" xfId="2" applyNumberFormat="1" applyFont="1" applyFill="1" applyBorder="1" applyAlignment="1">
      <alignment horizontal="center" vertical="center"/>
    </xf>
    <xf numFmtId="0" fontId="1" fillId="0" borderId="33" xfId="0" applyFont="1" applyBorder="1" applyAlignment="1">
      <alignment wrapText="1"/>
    </xf>
    <xf numFmtId="164" fontId="1" fillId="7" borderId="34" xfId="2" applyNumberFormat="1" applyFont="1" applyFill="1" applyBorder="1"/>
    <xf numFmtId="164" fontId="1" fillId="6" borderId="34" xfId="2" applyNumberFormat="1" applyFont="1" applyFill="1" applyBorder="1"/>
    <xf numFmtId="164" fontId="1" fillId="6" borderId="35" xfId="2" applyNumberFormat="1" applyFont="1" applyFill="1" applyBorder="1"/>
    <xf numFmtId="0" fontId="0" fillId="0" borderId="36" xfId="0" applyBorder="1" applyAlignment="1">
      <alignment vertical="center"/>
    </xf>
    <xf numFmtId="164" fontId="0" fillId="7" borderId="37" xfId="2" applyNumberFormat="1" applyFont="1" applyFill="1" applyBorder="1" applyAlignment="1">
      <alignment horizontal="center" vertical="center"/>
    </xf>
    <xf numFmtId="0" fontId="0" fillId="8" borderId="37" xfId="0" applyFill="1" applyBorder="1" applyAlignment="1">
      <alignment horizontal="center" vertical="center" wrapText="1"/>
    </xf>
    <xf numFmtId="164" fontId="0" fillId="6" borderId="37" xfId="2" applyNumberFormat="1" applyFont="1" applyFill="1" applyBorder="1" applyAlignment="1">
      <alignment horizontal="center" vertical="center"/>
    </xf>
    <xf numFmtId="164" fontId="0" fillId="0" borderId="38" xfId="2" applyNumberFormat="1" applyFont="1" applyBorder="1" applyAlignment="1">
      <alignment horizontal="center" vertical="center"/>
    </xf>
    <xf numFmtId="164" fontId="0" fillId="0" borderId="34" xfId="0" applyNumberFormat="1" applyBorder="1" applyAlignment="1">
      <alignment horizontal="center" vertical="center"/>
    </xf>
    <xf numFmtId="0" fontId="0" fillId="0" borderId="34" xfId="0" applyBorder="1" applyAlignment="1">
      <alignment horizontal="center" vertical="center"/>
    </xf>
    <xf numFmtId="164" fontId="0" fillId="0" borderId="35" xfId="0" applyNumberFormat="1" applyBorder="1" applyAlignment="1">
      <alignment horizontal="center" vertical="center"/>
    </xf>
    <xf numFmtId="1" fontId="0" fillId="0" borderId="32" xfId="0" applyNumberFormat="1" applyBorder="1" applyAlignment="1">
      <alignment horizontal="center" vertical="center"/>
    </xf>
    <xf numFmtId="0" fontId="1" fillId="0" borderId="33" xfId="0" applyFont="1" applyBorder="1" applyAlignment="1">
      <alignment horizontal="center" vertical="center" wrapText="1"/>
    </xf>
    <xf numFmtId="164" fontId="1" fillId="7" borderId="34" xfId="2" applyNumberFormat="1" applyFont="1" applyFill="1" applyBorder="1" applyAlignment="1">
      <alignment horizontal="center" vertical="center"/>
    </xf>
    <xf numFmtId="164" fontId="1" fillId="6" borderId="34" xfId="2" applyNumberFormat="1" applyFont="1" applyFill="1" applyBorder="1" applyAlignment="1">
      <alignment horizontal="center" vertical="center"/>
    </xf>
    <xf numFmtId="164" fontId="1" fillId="6" borderId="35" xfId="2" applyNumberFormat="1" applyFont="1" applyFill="1" applyBorder="1" applyAlignment="1">
      <alignment horizontal="center" vertical="center"/>
    </xf>
    <xf numFmtId="164" fontId="0" fillId="0" borderId="32" xfId="0" applyNumberFormat="1" applyBorder="1"/>
    <xf numFmtId="164" fontId="0" fillId="0" borderId="38" xfId="0" applyNumberFormat="1" applyBorder="1"/>
    <xf numFmtId="0" fontId="6" fillId="0" borderId="39" xfId="0" applyFont="1" applyBorder="1" applyAlignment="1">
      <alignment wrapText="1"/>
    </xf>
    <xf numFmtId="3" fontId="0" fillId="0" borderId="0" xfId="0" applyNumberFormat="1"/>
    <xf numFmtId="3" fontId="7" fillId="10" borderId="39" xfId="0" applyNumberFormat="1" applyFont="1" applyFill="1" applyBorder="1" applyAlignment="1">
      <alignment horizontal="right" wrapText="1"/>
    </xf>
    <xf numFmtId="0" fontId="8" fillId="0" borderId="39" xfId="0" applyFont="1" applyBorder="1" applyAlignment="1">
      <alignment wrapText="1"/>
    </xf>
    <xf numFmtId="10" fontId="0" fillId="0" borderId="0" xfId="0" applyNumberFormat="1"/>
    <xf numFmtId="10" fontId="8" fillId="0" borderId="39" xfId="0" applyNumberFormat="1" applyFont="1" applyBorder="1" applyAlignment="1">
      <alignment horizontal="right" wrapText="1"/>
    </xf>
    <xf numFmtId="0" fontId="6" fillId="0" borderId="39" xfId="0" applyFont="1" applyBorder="1" applyAlignment="1">
      <alignment horizontal="right" wrapText="1"/>
    </xf>
    <xf numFmtId="3" fontId="6" fillId="0" borderId="39" xfId="0" applyNumberFormat="1" applyFont="1" applyBorder="1" applyAlignment="1">
      <alignment horizontal="right" wrapText="1"/>
    </xf>
    <xf numFmtId="9" fontId="0" fillId="0" borderId="0" xfId="0" applyNumberFormat="1"/>
    <xf numFmtId="9" fontId="6" fillId="0" borderId="39" xfId="0" applyNumberFormat="1" applyFont="1" applyBorder="1" applyAlignment="1">
      <alignment horizontal="right" wrapText="1"/>
    </xf>
    <xf numFmtId="1" fontId="0" fillId="0" borderId="0" xfId="0" applyNumberFormat="1"/>
    <xf numFmtId="0" fontId="0" fillId="0" borderId="0" xfId="0" applyAlignment="1">
      <alignment horizontal="right" indent="1"/>
    </xf>
    <xf numFmtId="0" fontId="0" fillId="0" borderId="0" xfId="0" applyAlignment="1">
      <alignment horizontal="right"/>
    </xf>
    <xf numFmtId="0" fontId="1" fillId="0" borderId="0" xfId="0" applyFont="1" applyAlignment="1">
      <alignment horizontal="left"/>
    </xf>
    <xf numFmtId="0" fontId="6" fillId="0" borderId="39" xfId="0" applyFont="1" applyBorder="1" applyAlignment="1">
      <alignment vertical="center" wrapText="1"/>
    </xf>
    <xf numFmtId="0" fontId="8" fillId="0" borderId="39" xfId="0" applyFont="1" applyBorder="1" applyAlignment="1">
      <alignment vertical="center" wrapText="1"/>
    </xf>
    <xf numFmtId="0" fontId="0" fillId="0" borderId="0" xfId="0" applyAlignment="1">
      <alignment vertical="center"/>
    </xf>
    <xf numFmtId="166" fontId="0" fillId="0" borderId="0" xfId="0" applyNumberFormat="1"/>
    <xf numFmtId="0" fontId="1" fillId="0" borderId="0" xfId="0" applyFont="1" applyAlignment="1">
      <alignment horizontal="center"/>
    </xf>
    <xf numFmtId="0" fontId="1" fillId="11" borderId="0" xfId="0" applyFont="1" applyFill="1" applyAlignment="1">
      <alignment horizontal="center" vertical="center"/>
    </xf>
    <xf numFmtId="164" fontId="0" fillId="11" borderId="0" xfId="0" applyNumberFormat="1" applyFill="1"/>
    <xf numFmtId="164" fontId="1" fillId="11" borderId="0" xfId="0" applyNumberFormat="1" applyFont="1" applyFill="1"/>
    <xf numFmtId="0" fontId="0" fillId="11" borderId="0" xfId="0" applyFill="1"/>
    <xf numFmtId="0" fontId="0" fillId="11" borderId="0" xfId="0" applyFill="1" applyAlignment="1">
      <alignment horizontal="center" vertical="center"/>
    </xf>
    <xf numFmtId="164" fontId="0" fillId="11" borderId="0" xfId="2" applyNumberFormat="1" applyFont="1" applyFill="1"/>
    <xf numFmtId="164" fontId="0" fillId="0" borderId="0" xfId="2" applyNumberFormat="1" applyFont="1" applyAlignment="1">
      <alignment horizontal="center" vertical="center"/>
    </xf>
    <xf numFmtId="164" fontId="0" fillId="11" borderId="0" xfId="2" applyNumberFormat="1" applyFont="1" applyFill="1" applyAlignment="1">
      <alignment horizontal="center" vertical="center"/>
    </xf>
    <xf numFmtId="0" fontId="1" fillId="11" borderId="0" xfId="0" applyFont="1" applyFill="1"/>
    <xf numFmtId="0" fontId="0" fillId="11" borderId="0" xfId="0" applyFill="1" applyAlignment="1">
      <alignment horizontal="right" vertical="center"/>
    </xf>
    <xf numFmtId="164" fontId="1" fillId="11" borderId="0" xfId="2" applyNumberFormat="1" applyFont="1" applyFill="1"/>
    <xf numFmtId="164" fontId="1" fillId="11" borderId="0" xfId="2" applyNumberFormat="1" applyFont="1" applyFill="1" applyAlignment="1">
      <alignment horizontal="center" vertical="center"/>
    </xf>
    <xf numFmtId="167" fontId="0" fillId="0" borderId="0" xfId="0" applyNumberFormat="1"/>
    <xf numFmtId="164" fontId="6" fillId="0" borderId="0" xfId="2" applyNumberFormat="1" applyFont="1"/>
    <xf numFmtId="10" fontId="1" fillId="0" borderId="0" xfId="4" applyNumberFormat="1" applyFont="1"/>
    <xf numFmtId="0" fontId="1" fillId="0" borderId="0" xfId="0" applyFont="1" applyAlignment="1">
      <alignment vertical="center"/>
    </xf>
    <xf numFmtId="0" fontId="1" fillId="11" borderId="0" xfId="0" applyFont="1" applyFill="1" applyAlignment="1">
      <alignment vertical="center"/>
    </xf>
    <xf numFmtId="10" fontId="1" fillId="11" borderId="0" xfId="4" applyNumberFormat="1" applyFont="1" applyFill="1"/>
    <xf numFmtId="10" fontId="1" fillId="0" borderId="0" xfId="0" applyNumberFormat="1" applyFont="1"/>
    <xf numFmtId="9" fontId="8" fillId="11" borderId="39" xfId="0" applyNumberFormat="1" applyFont="1" applyFill="1" applyBorder="1" applyAlignment="1">
      <alignment horizontal="right" wrapText="1"/>
    </xf>
    <xf numFmtId="0" fontId="8" fillId="11" borderId="39" xfId="0" applyFont="1" applyFill="1" applyBorder="1" applyAlignment="1">
      <alignment wrapText="1"/>
    </xf>
    <xf numFmtId="164" fontId="0" fillId="0" borderId="0" xfId="2" applyNumberFormat="1" applyFont="1" applyAlignment="1">
      <alignment horizontal="left"/>
    </xf>
    <xf numFmtId="9" fontId="0" fillId="0" borderId="0" xfId="0" applyNumberFormat="1" applyAlignment="1">
      <alignment horizontal="left"/>
    </xf>
    <xf numFmtId="1" fontId="6" fillId="0" borderId="39" xfId="0" applyNumberFormat="1" applyFont="1" applyBorder="1" applyAlignment="1">
      <alignment wrapText="1"/>
    </xf>
    <xf numFmtId="164" fontId="0" fillId="0" borderId="0" xfId="0" applyNumberFormat="1" applyAlignment="1">
      <alignment horizontal="right"/>
    </xf>
    <xf numFmtId="164" fontId="0" fillId="0" borderId="0" xfId="2" applyNumberFormat="1" applyFont="1" applyAlignment="1">
      <alignment horizontal="right"/>
    </xf>
    <xf numFmtId="168" fontId="0" fillId="0" borderId="0" xfId="0" applyNumberFormat="1"/>
    <xf numFmtId="0" fontId="0" fillId="0" borderId="0" xfId="0" applyAlignment="1">
      <alignment wrapText="1"/>
    </xf>
    <xf numFmtId="10" fontId="6" fillId="0" borderId="39" xfId="0" applyNumberFormat="1" applyFont="1" applyBorder="1" applyAlignment="1">
      <alignment wrapText="1"/>
    </xf>
    <xf numFmtId="164" fontId="1" fillId="0" borderId="0" xfId="2" applyNumberFormat="1" applyFont="1"/>
    <xf numFmtId="167" fontId="6" fillId="0" borderId="39" xfId="0" applyNumberFormat="1" applyFont="1" applyBorder="1" applyAlignment="1">
      <alignment horizontal="right" wrapText="1"/>
    </xf>
    <xf numFmtId="9" fontId="6" fillId="0" borderId="0" xfId="0" applyNumberFormat="1" applyFont="1" applyAlignment="1">
      <alignment horizontal="right" wrapText="1"/>
    </xf>
    <xf numFmtId="9" fontId="6" fillId="0" borderId="39" xfId="0" applyNumberFormat="1" applyFont="1" applyBorder="1" applyAlignment="1">
      <alignment horizontal="left" wrapText="1"/>
    </xf>
    <xf numFmtId="10" fontId="6" fillId="0" borderId="39" xfId="0" applyNumberFormat="1" applyFont="1" applyBorder="1" applyAlignment="1">
      <alignment horizontal="right" wrapText="1"/>
    </xf>
    <xf numFmtId="10" fontId="0" fillId="0" borderId="0" xfId="0" applyNumberFormat="1" applyAlignment="1">
      <alignment horizontal="right"/>
    </xf>
    <xf numFmtId="0" fontId="0" fillId="0" borderId="0" xfId="0" applyAlignment="1">
      <alignment horizontal="center" vertical="center" wrapText="1"/>
    </xf>
    <xf numFmtId="165" fontId="8" fillId="11" borderId="39" xfId="0" applyNumberFormat="1" applyFont="1" applyFill="1" applyBorder="1" applyAlignment="1">
      <alignment horizontal="right" wrapText="1"/>
    </xf>
    <xf numFmtId="169" fontId="0" fillId="0" borderId="0" xfId="4" applyNumberFormat="1" applyFont="1"/>
    <xf numFmtId="0" fontId="1" fillId="0" borderId="0" xfId="0" applyFont="1" applyAlignment="1">
      <alignment horizontal="center" wrapText="1"/>
    </xf>
    <xf numFmtId="10" fontId="0" fillId="0" borderId="0" xfId="4" applyNumberFormat="1" applyFont="1"/>
    <xf numFmtId="1" fontId="0" fillId="0" borderId="0" xfId="0" applyNumberFormat="1" applyAlignment="1">
      <alignment horizontal="center" vertical="center"/>
    </xf>
    <xf numFmtId="165" fontId="0" fillId="0" borderId="0" xfId="0" applyNumberFormat="1"/>
    <xf numFmtId="170" fontId="0" fillId="0" borderId="0" xfId="4" applyNumberFormat="1" applyFont="1"/>
    <xf numFmtId="170" fontId="0" fillId="0" borderId="0" xfId="0" applyNumberFormat="1"/>
    <xf numFmtId="43" fontId="1" fillId="0" borderId="0" xfId="0" applyNumberFormat="1" applyFont="1"/>
    <xf numFmtId="0" fontId="0" fillId="0" borderId="0" xfId="0" applyAlignment="1">
      <alignment vertical="center" wrapText="1"/>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left" vertical="center" wrapText="1"/>
    </xf>
    <xf numFmtId="10" fontId="0" fillId="0" borderId="10" xfId="0" applyNumberFormat="1" applyBorder="1" applyAlignment="1">
      <alignment horizontal="center" vertical="center"/>
    </xf>
    <xf numFmtId="0" fontId="0" fillId="0" borderId="10" xfId="0" applyBorder="1" applyAlignment="1">
      <alignment horizontal="left" vertical="center"/>
    </xf>
    <xf numFmtId="2" fontId="0" fillId="0" borderId="10" xfId="0" applyNumberFormat="1" applyBorder="1" applyAlignment="1">
      <alignment horizontal="center" vertical="center"/>
    </xf>
    <xf numFmtId="10" fontId="0" fillId="0" borderId="10" xfId="4" applyNumberFormat="1" applyFont="1" applyBorder="1" applyAlignment="1">
      <alignment horizontal="center" vertical="center"/>
    </xf>
    <xf numFmtId="0" fontId="0" fillId="0" borderId="10" xfId="0" applyBorder="1" applyAlignment="1">
      <alignment horizontal="left" wrapText="1"/>
    </xf>
    <xf numFmtId="0" fontId="0" fillId="0" borderId="10" xfId="0" applyBorder="1" applyAlignment="1">
      <alignment wrapText="1"/>
    </xf>
    <xf numFmtId="0" fontId="0" fillId="0" borderId="0" xfId="0" applyAlignment="1">
      <alignment horizontal="left" vertical="center" wrapText="1"/>
    </xf>
    <xf numFmtId="171" fontId="0" fillId="0" borderId="10" xfId="4" applyNumberFormat="1" applyFont="1" applyBorder="1" applyAlignment="1">
      <alignment horizontal="center" vertical="center"/>
    </xf>
    <xf numFmtId="0" fontId="0" fillId="0" borderId="42" xfId="0" applyBorder="1" applyAlignment="1">
      <alignment vertical="center"/>
    </xf>
    <xf numFmtId="9" fontId="0" fillId="0" borderId="10" xfId="0" applyNumberFormat="1" applyBorder="1" applyAlignment="1">
      <alignment horizontal="center" vertical="center"/>
    </xf>
    <xf numFmtId="0" fontId="0" fillId="0" borderId="10" xfId="0" applyBorder="1"/>
    <xf numFmtId="167" fontId="0" fillId="0" borderId="10" xfId="0" applyNumberFormat="1" applyBorder="1" applyAlignment="1">
      <alignment horizontal="center" vertical="center"/>
    </xf>
    <xf numFmtId="164" fontId="0" fillId="0" borderId="0" xfId="0" applyNumberFormat="1" applyAlignment="1">
      <alignment horizontal="center"/>
    </xf>
    <xf numFmtId="164" fontId="0" fillId="0" borderId="0" xfId="0" applyNumberFormat="1" applyAlignment="1">
      <alignment horizontal="center" vertical="center"/>
    </xf>
    <xf numFmtId="164" fontId="0" fillId="0" borderId="0" xfId="2" applyNumberFormat="1" applyFont="1" applyAlignment="1">
      <alignment horizontal="center"/>
    </xf>
    <xf numFmtId="171" fontId="0" fillId="0" borderId="0" xfId="4" applyNumberFormat="1" applyFont="1"/>
    <xf numFmtId="172" fontId="0" fillId="0" borderId="0" xfId="0" applyNumberFormat="1"/>
    <xf numFmtId="173" fontId="0" fillId="0" borderId="0" xfId="0" applyNumberFormat="1"/>
    <xf numFmtId="0" fontId="0" fillId="0" borderId="10" xfId="0" applyBorder="1" applyAlignment="1">
      <alignment vertical="center" wrapText="1"/>
    </xf>
    <xf numFmtId="0" fontId="6" fillId="0" borderId="0" xfId="0" applyFont="1" applyAlignment="1">
      <alignment wrapText="1"/>
    </xf>
    <xf numFmtId="3" fontId="6" fillId="0" borderId="0" xfId="0" applyNumberFormat="1" applyFont="1" applyAlignment="1">
      <alignment horizontal="right" wrapText="1"/>
    </xf>
    <xf numFmtId="0" fontId="6" fillId="0" borderId="0" xfId="0" applyFont="1" applyAlignment="1">
      <alignment horizontal="right" wrapText="1"/>
    </xf>
    <xf numFmtId="174" fontId="0" fillId="0" borderId="0" xfId="0" applyNumberFormat="1"/>
    <xf numFmtId="165" fontId="0" fillId="0" borderId="0" xfId="0" applyNumberFormat="1" applyAlignment="1">
      <alignment horizontal="center" vertical="center"/>
    </xf>
    <xf numFmtId="170" fontId="0" fillId="0" borderId="0" xfId="0" applyNumberFormat="1" applyAlignment="1">
      <alignment horizontal="center" vertical="center"/>
    </xf>
    <xf numFmtId="175" fontId="0" fillId="0" borderId="0" xfId="0" applyNumberFormat="1"/>
    <xf numFmtId="167" fontId="0" fillId="0" borderId="0" xfId="0" applyNumberFormat="1" applyAlignment="1">
      <alignment horizontal="center" vertical="center"/>
    </xf>
    <xf numFmtId="0" fontId="0" fillId="8" borderId="0" xfId="0" applyFill="1"/>
    <xf numFmtId="1" fontId="1" fillId="0" borderId="0" xfId="0" applyNumberFormat="1" applyFont="1"/>
    <xf numFmtId="176" fontId="0" fillId="0" borderId="0" xfId="0" applyNumberFormat="1"/>
    <xf numFmtId="1" fontId="0" fillId="0" borderId="0" xfId="4" applyNumberFormat="1" applyFont="1"/>
    <xf numFmtId="177" fontId="0" fillId="0" borderId="0" xfId="0" applyNumberFormat="1"/>
    <xf numFmtId="0" fontId="1" fillId="0" borderId="0" xfId="0" applyFont="1" applyAlignment="1">
      <alignment wrapText="1"/>
    </xf>
    <xf numFmtId="178" fontId="0" fillId="0" borderId="0" xfId="5" applyNumberFormat="1" applyFont="1"/>
    <xf numFmtId="1" fontId="0" fillId="0" borderId="0" xfId="5" applyNumberFormat="1" applyFont="1" applyAlignment="1">
      <alignment horizontal="center" vertical="center"/>
    </xf>
    <xf numFmtId="44" fontId="0" fillId="0" borderId="0" xfId="5" applyFont="1"/>
    <xf numFmtId="179" fontId="1" fillId="0" borderId="0" xfId="0" applyNumberFormat="1" applyFont="1" applyAlignment="1">
      <alignment horizontal="center" vertical="center"/>
    </xf>
    <xf numFmtId="0" fontId="1" fillId="12" borderId="0" xfId="0" applyFont="1" applyFill="1" applyAlignment="1">
      <alignment horizontal="center"/>
    </xf>
    <xf numFmtId="2" fontId="1" fillId="12" borderId="0" xfId="0" applyNumberFormat="1" applyFont="1" applyFill="1" applyAlignment="1">
      <alignment horizontal="center" vertical="center" wrapText="1"/>
    </xf>
    <xf numFmtId="2" fontId="0" fillId="12" borderId="0" xfId="5" applyNumberFormat="1" applyFont="1" applyFill="1" applyAlignment="1">
      <alignment horizontal="center" vertical="center"/>
    </xf>
    <xf numFmtId="0" fontId="0" fillId="12" borderId="0" xfId="0" applyFill="1"/>
    <xf numFmtId="0" fontId="1" fillId="12" borderId="0" xfId="0" applyFont="1" applyFill="1" applyAlignment="1">
      <alignment horizontal="center" vertical="center" wrapText="1"/>
    </xf>
    <xf numFmtId="178" fontId="0" fillId="12" borderId="0" xfId="5" applyNumberFormat="1" applyFont="1" applyFill="1"/>
    <xf numFmtId="44" fontId="0" fillId="12" borderId="0" xfId="5" applyFont="1" applyFill="1"/>
    <xf numFmtId="179" fontId="1" fillId="12" borderId="0" xfId="0" applyNumberFormat="1" applyFont="1" applyFill="1" applyAlignment="1">
      <alignment horizontal="center" vertical="center"/>
    </xf>
    <xf numFmtId="164" fontId="0" fillId="12" borderId="0" xfId="0" applyNumberFormat="1" applyFill="1"/>
    <xf numFmtId="0" fontId="0" fillId="13" borderId="0" xfId="0" applyFill="1"/>
    <xf numFmtId="0" fontId="1" fillId="13" borderId="0" xfId="0" applyFont="1" applyFill="1" applyAlignment="1">
      <alignment horizontal="center" vertical="center" wrapText="1"/>
    </xf>
    <xf numFmtId="171" fontId="0" fillId="0" borderId="0" xfId="4" applyNumberFormat="1" applyFont="1" applyAlignment="1">
      <alignment horizontal="center" vertical="center"/>
    </xf>
    <xf numFmtId="0" fontId="6" fillId="0" borderId="39" xfId="0" applyFont="1" applyBorder="1" applyAlignment="1">
      <alignment horizontal="left" vertical="center" wrapText="1"/>
    </xf>
    <xf numFmtId="1" fontId="1" fillId="0" borderId="0" xfId="0" applyNumberFormat="1" applyFont="1" applyAlignment="1">
      <alignment horizontal="center" vertical="center"/>
    </xf>
    <xf numFmtId="2" fontId="1" fillId="0" borderId="0" xfId="0" applyNumberFormat="1" applyFont="1" applyAlignment="1">
      <alignment horizontal="center" vertical="center"/>
    </xf>
    <xf numFmtId="173" fontId="0" fillId="0" borderId="0" xfId="0" applyNumberFormat="1" applyAlignment="1">
      <alignment horizontal="center" vertical="center"/>
    </xf>
    <xf numFmtId="173" fontId="1" fillId="0" borderId="0" xfId="0" applyNumberFormat="1" applyFont="1" applyAlignment="1">
      <alignment horizontal="center" vertical="center"/>
    </xf>
    <xf numFmtId="167" fontId="1" fillId="0" borderId="0" xfId="0" applyNumberFormat="1" applyFont="1" applyAlignment="1">
      <alignment horizontal="center" vertical="center"/>
    </xf>
    <xf numFmtId="0" fontId="0" fillId="0" borderId="0" xfId="0" applyAlignment="1">
      <alignment horizontal="right" vertical="center" wrapText="1"/>
    </xf>
    <xf numFmtId="169" fontId="0" fillId="0" borderId="0" xfId="0" applyNumberFormat="1"/>
    <xf numFmtId="0" fontId="15" fillId="12" borderId="0" xfId="0" applyFont="1" applyFill="1" applyAlignment="1">
      <alignment horizontal="center"/>
    </xf>
    <xf numFmtId="179" fontId="0" fillId="0" borderId="0" xfId="5" applyNumberFormat="1" applyFont="1"/>
    <xf numFmtId="0" fontId="6" fillId="0" borderId="0" xfId="0" applyFont="1"/>
    <xf numFmtId="0" fontId="1" fillId="0" borderId="0" xfId="0" applyFont="1" applyAlignment="1">
      <alignment horizontal="left" vertical="center"/>
    </xf>
    <xf numFmtId="164" fontId="0" fillId="0" borderId="0" xfId="4" applyNumberFormat="1" applyFont="1"/>
    <xf numFmtId="0" fontId="1" fillId="6" borderId="0" xfId="0" applyFont="1" applyFill="1" applyAlignment="1">
      <alignment horizontal="center" vertical="center" wrapText="1"/>
    </xf>
    <xf numFmtId="0" fontId="1" fillId="6" borderId="0" xfId="0" applyFont="1" applyFill="1" applyAlignment="1">
      <alignment horizontal="center" vertical="center"/>
    </xf>
    <xf numFmtId="0" fontId="16" fillId="0" borderId="0" xfId="0" applyFont="1"/>
    <xf numFmtId="0" fontId="15" fillId="0" borderId="0" xfId="0" applyFont="1" applyAlignment="1">
      <alignment wrapText="1"/>
    </xf>
    <xf numFmtId="0" fontId="15" fillId="0" borderId="0" xfId="0" applyFont="1" applyAlignment="1">
      <alignment horizontal="center" vertical="center" wrapText="1"/>
    </xf>
    <xf numFmtId="1" fontId="16" fillId="0" borderId="0" xfId="0" applyNumberFormat="1" applyFont="1"/>
    <xf numFmtId="1" fontId="15" fillId="0" borderId="0" xfId="0" applyNumberFormat="1" applyFont="1"/>
    <xf numFmtId="164" fontId="15" fillId="0" borderId="0" xfId="2" applyNumberFormat="1" applyFont="1"/>
    <xf numFmtId="9" fontId="1" fillId="0" borderId="0" xfId="4" applyFont="1"/>
    <xf numFmtId="9" fontId="1" fillId="0" borderId="0" xfId="4" applyFont="1" applyAlignment="1">
      <alignment horizontal="left" vertical="center" wrapText="1"/>
    </xf>
    <xf numFmtId="180" fontId="0" fillId="0" borderId="0" xfId="0" applyNumberFormat="1"/>
    <xf numFmtId="43" fontId="0" fillId="0" borderId="0" xfId="0" applyNumberFormat="1" applyAlignment="1">
      <alignment horizontal="center" vertical="center"/>
    </xf>
    <xf numFmtId="43" fontId="0" fillId="0" borderId="0" xfId="0" applyNumberFormat="1" applyAlignment="1">
      <alignment vertical="center"/>
    </xf>
    <xf numFmtId="0" fontId="0" fillId="0" borderId="0" xfId="0" applyAlignment="1">
      <alignment horizontal="right" wrapText="1"/>
    </xf>
    <xf numFmtId="167" fontId="15" fillId="0" borderId="0" xfId="0" applyNumberFormat="1" applyFont="1" applyAlignment="1">
      <alignment horizontal="center" vertical="center" wrapText="1"/>
    </xf>
    <xf numFmtId="167" fontId="1" fillId="0" borderId="0" xfId="0" applyNumberFormat="1" applyFont="1"/>
    <xf numFmtId="170" fontId="1" fillId="0" borderId="0" xfId="0" applyNumberFormat="1" applyFont="1" applyAlignment="1">
      <alignment horizontal="center" vertical="center" wrapText="1"/>
    </xf>
    <xf numFmtId="181" fontId="0" fillId="0" borderId="0" xfId="0" applyNumberFormat="1"/>
    <xf numFmtId="175" fontId="0" fillId="0" borderId="0" xfId="0" applyNumberFormat="1" applyAlignment="1">
      <alignment horizontal="center" vertical="center"/>
    </xf>
    <xf numFmtId="182" fontId="0" fillId="0" borderId="0" xfId="4" applyNumberFormat="1" applyFont="1"/>
    <xf numFmtId="183" fontId="0" fillId="0" borderId="0" xfId="0" applyNumberFormat="1"/>
    <xf numFmtId="0" fontId="3" fillId="0" borderId="0" xfId="0" applyFont="1" applyAlignment="1">
      <alignment wrapText="1"/>
    </xf>
    <xf numFmtId="1" fontId="3" fillId="0" borderId="0" xfId="0" applyNumberFormat="1" applyFont="1"/>
    <xf numFmtId="0" fontId="3" fillId="0" borderId="0" xfId="0" applyFont="1"/>
    <xf numFmtId="164" fontId="3" fillId="0" borderId="0" xfId="2" applyNumberFormat="1" applyFont="1"/>
    <xf numFmtId="164" fontId="16" fillId="0" borderId="0" xfId="2" applyNumberFormat="1" applyFont="1"/>
    <xf numFmtId="9" fontId="15" fillId="0" borderId="0" xfId="4" applyFont="1" applyAlignment="1">
      <alignment horizontal="center" vertical="center" wrapText="1"/>
    </xf>
    <xf numFmtId="10" fontId="15" fillId="0" borderId="0" xfId="4" applyNumberFormat="1" applyFont="1"/>
    <xf numFmtId="175" fontId="0" fillId="0" borderId="0" xfId="2" applyNumberFormat="1" applyFont="1"/>
    <xf numFmtId="184" fontId="0" fillId="0" borderId="0" xfId="0" applyNumberFormat="1"/>
    <xf numFmtId="182" fontId="0" fillId="0" borderId="0" xfId="0" applyNumberFormat="1"/>
    <xf numFmtId="2" fontId="0" fillId="0" borderId="0" xfId="4" applyNumberFormat="1" applyFont="1"/>
    <xf numFmtId="10" fontId="0" fillId="0" borderId="0" xfId="0" applyNumberFormat="1" applyAlignment="1">
      <alignment wrapText="1"/>
    </xf>
    <xf numFmtId="10" fontId="0" fillId="0" borderId="0" xfId="0" applyNumberFormat="1" applyAlignment="1">
      <alignment vertical="center" wrapText="1"/>
    </xf>
    <xf numFmtId="169" fontId="1" fillId="0" borderId="0" xfId="0" applyNumberFormat="1" applyFont="1"/>
    <xf numFmtId="43" fontId="0" fillId="0" borderId="0" xfId="2" applyFont="1"/>
    <xf numFmtId="165" fontId="1" fillId="0" borderId="0" xfId="0" applyNumberFormat="1" applyFont="1" applyAlignment="1">
      <alignment horizontal="center"/>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wrapText="1"/>
    </xf>
    <xf numFmtId="0" fontId="0" fillId="0" borderId="10" xfId="0" applyBorder="1" applyAlignment="1">
      <alignment horizontal="center" vertical="center"/>
    </xf>
    <xf numFmtId="0" fontId="11" fillId="0" borderId="41"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10" xfId="0" applyFont="1" applyBorder="1" applyAlignment="1">
      <alignment horizontal="center" vertical="center"/>
    </xf>
    <xf numFmtId="0" fontId="0" fillId="0" borderId="0" xfId="0" applyAlignment="1">
      <alignment horizontal="center" vertical="center" wrapText="1"/>
    </xf>
    <xf numFmtId="0" fontId="1" fillId="0" borderId="10" xfId="0" applyFont="1" applyBorder="1" applyAlignment="1">
      <alignment horizontal="center"/>
    </xf>
    <xf numFmtId="0" fontId="2" fillId="0" borderId="0" xfId="1" applyAlignment="1">
      <alignment horizontal="left"/>
    </xf>
    <xf numFmtId="0" fontId="0" fillId="0" borderId="0" xfId="0" applyAlignment="1">
      <alignment horizontal="left"/>
    </xf>
    <xf numFmtId="0" fontId="1" fillId="0" borderId="0" xfId="0" applyFont="1" applyAlignment="1">
      <alignment horizontal="center" vertical="center"/>
    </xf>
    <xf numFmtId="0" fontId="0" fillId="0" borderId="10" xfId="0" applyBorder="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xf>
    <xf numFmtId="0" fontId="2" fillId="0" borderId="40" xfId="1" applyBorder="1" applyAlignment="1">
      <alignment horizontal="center" vertical="center"/>
    </xf>
    <xf numFmtId="0" fontId="2" fillId="0" borderId="0" xfId="1" applyAlignment="1">
      <alignment horizontal="center"/>
    </xf>
    <xf numFmtId="0" fontId="9" fillId="0" borderId="0" xfId="0" applyFont="1" applyAlignment="1">
      <alignment horizontal="center" vertical="center"/>
    </xf>
    <xf numFmtId="0" fontId="0" fillId="0" borderId="0" xfId="0" applyAlignment="1">
      <alignment horizontal="center"/>
    </xf>
    <xf numFmtId="9" fontId="0" fillId="0" borderId="0" xfId="4" applyFont="1" applyAlignment="1">
      <alignment horizontal="center"/>
    </xf>
    <xf numFmtId="171" fontId="0" fillId="0" borderId="0" xfId="4" applyNumberFormat="1" applyFont="1" applyAlignment="1">
      <alignment horizontal="center"/>
    </xf>
    <xf numFmtId="164" fontId="1" fillId="0" borderId="0" xfId="2" applyNumberFormat="1" applyFont="1" applyAlignment="1">
      <alignment horizontal="center" vertical="center" wrapText="1"/>
    </xf>
    <xf numFmtId="1" fontId="1" fillId="0" borderId="0" xfId="4" applyNumberFormat="1" applyFont="1" applyAlignment="1">
      <alignment horizontal="center" vertical="center" wrapText="1"/>
    </xf>
    <xf numFmtId="0" fontId="1" fillId="6" borderId="0" xfId="0" applyFont="1" applyFill="1" applyAlignment="1">
      <alignment horizontal="center" vertical="center" wrapText="1"/>
    </xf>
    <xf numFmtId="0" fontId="1" fillId="6" borderId="0" xfId="0" applyFont="1" applyFill="1" applyAlignment="1">
      <alignment horizontal="center" vertical="center"/>
    </xf>
    <xf numFmtId="0" fontId="2" fillId="0" borderId="0" xfId="1" applyAlignment="1">
      <alignment horizontal="left" vertical="center"/>
    </xf>
    <xf numFmtId="0" fontId="15" fillId="12" borderId="0" xfId="0" applyFont="1" applyFill="1" applyAlignment="1">
      <alignment horizontal="center"/>
    </xf>
    <xf numFmtId="164" fontId="1" fillId="0" borderId="0" xfId="2" applyNumberFormat="1" applyFont="1" applyAlignment="1">
      <alignment horizontal="center" vertical="center"/>
    </xf>
    <xf numFmtId="0" fontId="0" fillId="9" borderId="31" xfId="0" applyFill="1" applyBorder="1" applyAlignment="1">
      <alignment horizontal="center"/>
    </xf>
    <xf numFmtId="0" fontId="0" fillId="9" borderId="0" xfId="0" applyFill="1" applyAlignment="1">
      <alignment horizontal="center"/>
    </xf>
    <xf numFmtId="0" fontId="0" fillId="9" borderId="32" xfId="0" applyFill="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cellXfs>
  <cellStyles count="6">
    <cellStyle name="Comma" xfId="2" builtinId="3"/>
    <cellStyle name="Currency" xfId="5" builtinId="4"/>
    <cellStyle name="Hyperlink" xfId="1" builtinId="8"/>
    <cellStyle name="Normal" xfId="0" builtinId="0"/>
    <cellStyle name="Normal 2" xfId="3" xr:uid="{8B34813F-5C2E-43BF-A361-0203AE34AC00}"/>
    <cellStyle name="Percent" xfId="4" builtinId="5"/>
  </cellStyles>
  <dxfs count="0"/>
  <tableStyles count="0" defaultTableStyle="TableStyleMedium2" defaultPivotStyle="PivotStyleLight16"/>
  <colors>
    <mruColors>
      <color rgb="FFC9184A"/>
      <color rgb="FF008000"/>
      <color rgb="FFFFB3C1"/>
      <color rgb="FFFFF0F3"/>
      <color rgb="FF9EF01A"/>
      <color rgb="FFFF758F"/>
      <color rgb="FFA4133C"/>
      <color rgb="FF590D22"/>
      <color rgb="FFCCFF33"/>
      <color rgb="FF004B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www.bts.gov/topics/national-transportation-statistics" TargetMode="External"/><Relationship Id="rId2" Type="http://schemas.openxmlformats.org/officeDocument/2006/relationships/hyperlink" Target="https://data.census.gov/table?q=cf1700a24&amp;g=040XX00US26&amp;n=326&amp;tid=CFSAREA2017.CF1700A24" TargetMode="External"/><Relationship Id="rId1" Type="http://schemas.openxmlformats.org/officeDocument/2006/relationships/hyperlink" Target="https://apps.bea.gov/iTable/?reqid=99&amp;step=1&amp;acrdn=1" TargetMode="External"/><Relationship Id="rId5" Type="http://schemas.openxmlformats.org/officeDocument/2006/relationships/printerSettings" Target="../printerSettings/printerSettings8.bin"/><Relationship Id="rId4" Type="http://schemas.openxmlformats.org/officeDocument/2006/relationships/hyperlink" Target="https://www.census.gov/data/tables/2019/econ/susb/2019-susb-annual.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bts.gov/topics/national-transportation-statistics" TargetMode="External"/><Relationship Id="rId7" Type="http://schemas.openxmlformats.org/officeDocument/2006/relationships/comments" Target="../comments6.xml"/><Relationship Id="rId2" Type="http://schemas.openxmlformats.org/officeDocument/2006/relationships/hyperlink" Target="https://data.census.gov/table?q=cf1700a24&amp;g=040XX00US26&amp;n=326&amp;tid=CFSAREA2017.CF1700A24" TargetMode="External"/><Relationship Id="rId1" Type="http://schemas.openxmlformats.org/officeDocument/2006/relationships/hyperlink" Target="https://apps.bea.gov/iTable/?reqid=99&amp;step=1&amp;acrdn=1" TargetMode="External"/><Relationship Id="rId6" Type="http://schemas.openxmlformats.org/officeDocument/2006/relationships/vmlDrawing" Target="../drawings/vmlDrawing6.vml"/><Relationship Id="rId5" Type="http://schemas.openxmlformats.org/officeDocument/2006/relationships/printerSettings" Target="../printerSettings/printerSettings9.bin"/><Relationship Id="rId4" Type="http://schemas.openxmlformats.org/officeDocument/2006/relationships/hyperlink" Target="https://www.census.gov/data/tables/2019/econ/susb/2019-susb-annual.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static1.squarespace.com/static/623ba5dc2405f749aa2dc3b1/t/62475e7c7e5efb6fbf15d5b7/1648844418638/2021-Gap-Analysis-Update-FINAL.pdf"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3" Type="http://schemas.openxmlformats.org/officeDocument/2006/relationships/hyperlink" Target="https://my.ibisworld.com/us/en/industry-state/mi32612/state-industry-report" TargetMode="External"/><Relationship Id="rId18" Type="http://schemas.openxmlformats.org/officeDocument/2006/relationships/hyperlink" Target="https://www.engineeringtoolbox.com/fuels-higher-calorific-values-d_169.html" TargetMode="External"/><Relationship Id="rId26" Type="http://schemas.openxmlformats.org/officeDocument/2006/relationships/hyperlink" Target="https://www.eia.gov/dnav/ng/ng_prod_sum_a_EPG0_FGW_mmcf_m.htm" TargetMode="External"/><Relationship Id="rId3" Type="http://schemas.openxmlformats.org/officeDocument/2006/relationships/hyperlink" Target="https://my.ibisworld.com/us/en/industry/56292/about" TargetMode="External"/><Relationship Id="rId21" Type="http://schemas.openxmlformats.org/officeDocument/2006/relationships/hyperlink" Target="https://www.bp.com/content/dam/bp/business-sites/en/global/corporate/pdfs/energy-economics/statistical-review/bp-stats-review-2021-approximate-conversion-factors.pdf" TargetMode="External"/><Relationship Id="rId7" Type="http://schemas.openxmlformats.org/officeDocument/2006/relationships/hyperlink" Target="https://my.ibisworld.com/us/en/industry/32611/about" TargetMode="External"/><Relationship Id="rId12" Type="http://schemas.openxmlformats.org/officeDocument/2006/relationships/hyperlink" Target="https://my.ibisworld.com/us/en/industry-state/mi32611/state-industry-report" TargetMode="External"/><Relationship Id="rId17" Type="http://schemas.openxmlformats.org/officeDocument/2006/relationships/hyperlink" Target="https://my.ibisworld.com/us/en/industry/32521/key-statistics" TargetMode="External"/><Relationship Id="rId25" Type="http://schemas.openxmlformats.org/officeDocument/2006/relationships/hyperlink" Target="https://www.eia.gov/dnav/pet/pet_crd_crpdn_adc_mbbl_a.htm" TargetMode="External"/><Relationship Id="rId33" Type="http://schemas.openxmlformats.org/officeDocument/2006/relationships/comments" Target="../comments8.xml"/><Relationship Id="rId2" Type="http://schemas.openxmlformats.org/officeDocument/2006/relationships/hyperlink" Target="https://my.ibisworld.com/us/en/industry-state/mi56211/state-industry-report" TargetMode="External"/><Relationship Id="rId16" Type="http://schemas.openxmlformats.org/officeDocument/2006/relationships/hyperlink" Target="https://my.ibisworld.com/us/en/industry-state/mi32619/state-industry-report" TargetMode="External"/><Relationship Id="rId20" Type="http://schemas.openxmlformats.org/officeDocument/2006/relationships/hyperlink" Target="https://www.bp.com/content/dam/bp/business-sites/en/global/corporate/pdfs/energy-economics/statistical-review/bp-stats-review-2021-approximate-conversion-factors.pdf" TargetMode="External"/><Relationship Id="rId29" Type="http://schemas.openxmlformats.org/officeDocument/2006/relationships/hyperlink" Target="https://my.ibisworld.com/us/en/industry/32411/at-a-glance" TargetMode="External"/><Relationship Id="rId1" Type="http://schemas.openxmlformats.org/officeDocument/2006/relationships/hyperlink" Target="https://my.ibisworld.com/us/en/industry/56211/about" TargetMode="External"/><Relationship Id="rId6" Type="http://schemas.openxmlformats.org/officeDocument/2006/relationships/hyperlink" Target="https://my.ibisworld.com/us/en/industry-state/mi56221/state-industry-report" TargetMode="External"/><Relationship Id="rId11" Type="http://schemas.openxmlformats.org/officeDocument/2006/relationships/hyperlink" Target="https://my.ibisworld.com/us/en/industry/32619/about" TargetMode="External"/><Relationship Id="rId24" Type="http://schemas.openxmlformats.org/officeDocument/2006/relationships/hyperlink" Target="https://www.eia.gov/petroleum/supply/annual/volume1/archive/2019/pdf/table31.pdf" TargetMode="External"/><Relationship Id="rId32" Type="http://schemas.openxmlformats.org/officeDocument/2006/relationships/vmlDrawing" Target="../drawings/vmlDrawing8.vml"/><Relationship Id="rId5" Type="http://schemas.openxmlformats.org/officeDocument/2006/relationships/hyperlink" Target="https://my.ibisworld.com/us/en/industry/56221/about" TargetMode="External"/><Relationship Id="rId15" Type="http://schemas.openxmlformats.org/officeDocument/2006/relationships/hyperlink" Target="https://my.ibisworld.com/us/en/industry-state/mi32616/state-industry-report" TargetMode="External"/><Relationship Id="rId23" Type="http://schemas.openxmlformats.org/officeDocument/2006/relationships/hyperlink" Target="https://www.eia.gov/petroleum/supply/annual/volume1/archive/2019/pdf/table13.pdf" TargetMode="External"/><Relationship Id="rId28" Type="http://schemas.openxmlformats.org/officeDocument/2006/relationships/hyperlink" Target="https://my.ibisworld.com/us/en/industry-specialized/od5404/at-a-glance" TargetMode="External"/><Relationship Id="rId10" Type="http://schemas.openxmlformats.org/officeDocument/2006/relationships/hyperlink" Target="https://my.ibisworld.com/us/en/industry/32616/about" TargetMode="External"/><Relationship Id="rId19" Type="http://schemas.openxmlformats.org/officeDocument/2006/relationships/hyperlink" Target="https://www.world-nuclear.org/information-library/facts-and-figures/heat-values-of-various-fuels.aspx" TargetMode="External"/><Relationship Id="rId31" Type="http://schemas.openxmlformats.org/officeDocument/2006/relationships/printerSettings" Target="../printerSettings/printerSettings11.bin"/><Relationship Id="rId4" Type="http://schemas.openxmlformats.org/officeDocument/2006/relationships/hyperlink" Target="https://my.ibisworld.com/us/en/industry-state/mi56292/state-industry-report" TargetMode="External"/><Relationship Id="rId9" Type="http://schemas.openxmlformats.org/officeDocument/2006/relationships/hyperlink" Target="https://my.ibisworld.com/us/en/industry/32613/about" TargetMode="External"/><Relationship Id="rId14" Type="http://schemas.openxmlformats.org/officeDocument/2006/relationships/hyperlink" Target="https://my.ibisworld.com/us/en/industry-state/mi32613/state-industry-report" TargetMode="External"/><Relationship Id="rId22" Type="http://schemas.openxmlformats.org/officeDocument/2006/relationships/hyperlink" Target="https://www.engineeringtoolbox.com/fuels-higher-calorific-values-d_169.html" TargetMode="External"/><Relationship Id="rId27" Type="http://schemas.openxmlformats.org/officeDocument/2006/relationships/hyperlink" Target="https://my.ibisworld.com/us/en/industry/21111/at-a-glance" TargetMode="External"/><Relationship Id="rId30" Type="http://schemas.openxmlformats.org/officeDocument/2006/relationships/hyperlink" Target="https://my.ibisworld.com/us/en/industry/32511/at-a-glance" TargetMode="External"/><Relationship Id="rId8" Type="http://schemas.openxmlformats.org/officeDocument/2006/relationships/hyperlink" Target="https://my.ibisworld.com/us/en/industry/32612/about"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epa.gov/warm/documentation-chapters-greenhouse-gas-emission-energy-and-economic-factors-used-waste"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hyperlink" Target="https://my.ibisworld.com/us/en/industry/32619/about" TargetMode="External"/><Relationship Id="rId13" Type="http://schemas.openxmlformats.org/officeDocument/2006/relationships/hyperlink" Target="https://my.ibisworld.com/us/en/industry-state/mi32616/state-industry-report" TargetMode="External"/><Relationship Id="rId3" Type="http://schemas.openxmlformats.org/officeDocument/2006/relationships/hyperlink" Target="https://rrsinc.maps.arcgis.com/apps/webappviewer/index.html?id=d0ea03d056934f94949700c63e0302a5" TargetMode="External"/><Relationship Id="rId7" Type="http://schemas.openxmlformats.org/officeDocument/2006/relationships/hyperlink" Target="https://www.census.gov/data/tables/2019/econ/susb/2019-susb-annual.html" TargetMode="External"/><Relationship Id="rId12" Type="http://schemas.openxmlformats.org/officeDocument/2006/relationships/hyperlink" Target="https://my.ibisworld.com/us/en/industry/32616/about" TargetMode="External"/><Relationship Id="rId2" Type="http://schemas.openxmlformats.org/officeDocument/2006/relationships/hyperlink" Target="https://www.census.gov/data/tables/2019/econ/susb/2019-susb-annual.html" TargetMode="External"/><Relationship Id="rId16" Type="http://schemas.openxmlformats.org/officeDocument/2006/relationships/comments" Target="../comments2.xml"/><Relationship Id="rId1" Type="http://schemas.openxmlformats.org/officeDocument/2006/relationships/hyperlink" Target="https://apps.bea.gov/iTable/?reqid=99&amp;step=1&amp;acrdn=1" TargetMode="External"/><Relationship Id="rId6" Type="http://schemas.openxmlformats.org/officeDocument/2006/relationships/hyperlink" Target="https://www.bts.gov/topics/national-transportation-statistics" TargetMode="External"/><Relationship Id="rId11" Type="http://schemas.openxmlformats.org/officeDocument/2006/relationships/hyperlink" Target="https://my.ibisworld.com/us/en/industry-state/mi32616/state-industry-report" TargetMode="External"/><Relationship Id="rId5" Type="http://schemas.openxmlformats.org/officeDocument/2006/relationships/hyperlink" Target="https://data.census.gov/table?q=cf1700a24&amp;g=040XX00US26&amp;n=326&amp;tid=CFSAREA2017.CF1700A24" TargetMode="External"/><Relationship Id="rId15" Type="http://schemas.openxmlformats.org/officeDocument/2006/relationships/vmlDrawing" Target="../drawings/vmlDrawing2.vml"/><Relationship Id="rId10" Type="http://schemas.openxmlformats.org/officeDocument/2006/relationships/hyperlink" Target="https://my.ibisworld.com/us/en/industry/32616/about" TargetMode="External"/><Relationship Id="rId4" Type="http://schemas.openxmlformats.org/officeDocument/2006/relationships/hyperlink" Target="https://rrsinc.maps.arcgis.com/apps/webappviewer/index.html?id=d0ea03d056934f94949700c63e0302a5" TargetMode="External"/><Relationship Id="rId9" Type="http://schemas.openxmlformats.org/officeDocument/2006/relationships/hyperlink" Target="https://my.ibisworld.com/us/en/industry-state/mi32619/state-industry-report" TargetMode="External"/><Relationship Id="rId1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my.ibisworld.com/us/en/industry/32619/about" TargetMode="External"/><Relationship Id="rId13" Type="http://schemas.openxmlformats.org/officeDocument/2006/relationships/hyperlink" Target="https://my.ibisworld.com/us/en/industry-state/mi32616/state-industry-report" TargetMode="External"/><Relationship Id="rId3" Type="http://schemas.openxmlformats.org/officeDocument/2006/relationships/hyperlink" Target="https://rrsinc.maps.arcgis.com/apps/webappviewer/index.html?id=d0ea03d056934f94949700c63e0302a5" TargetMode="External"/><Relationship Id="rId7" Type="http://schemas.openxmlformats.org/officeDocument/2006/relationships/hyperlink" Target="https://www.census.gov/data/tables/2019/econ/susb/2019-susb-annual.html" TargetMode="External"/><Relationship Id="rId12" Type="http://schemas.openxmlformats.org/officeDocument/2006/relationships/hyperlink" Target="https://my.ibisworld.com/us/en/industry/32616/about" TargetMode="External"/><Relationship Id="rId2" Type="http://schemas.openxmlformats.org/officeDocument/2006/relationships/hyperlink" Target="https://www.census.gov/data/tables/2019/econ/susb/2019-susb-annual.html" TargetMode="External"/><Relationship Id="rId16" Type="http://schemas.openxmlformats.org/officeDocument/2006/relationships/comments" Target="../comments3.xml"/><Relationship Id="rId1" Type="http://schemas.openxmlformats.org/officeDocument/2006/relationships/hyperlink" Target="https://apps.bea.gov/iTable/?reqid=99&amp;step=1&amp;acrdn=1" TargetMode="External"/><Relationship Id="rId6" Type="http://schemas.openxmlformats.org/officeDocument/2006/relationships/hyperlink" Target="https://www.bts.gov/topics/national-transportation-statistics" TargetMode="External"/><Relationship Id="rId11" Type="http://schemas.openxmlformats.org/officeDocument/2006/relationships/hyperlink" Target="https://my.ibisworld.com/us/en/industry-state/mi32616/state-industry-report" TargetMode="External"/><Relationship Id="rId5" Type="http://schemas.openxmlformats.org/officeDocument/2006/relationships/hyperlink" Target="https://data.census.gov/table?q=cf1700a24&amp;g=040XX00US26&amp;n=326&amp;tid=CFSAREA2017.CF1700A24" TargetMode="External"/><Relationship Id="rId15" Type="http://schemas.openxmlformats.org/officeDocument/2006/relationships/vmlDrawing" Target="../drawings/vmlDrawing3.vml"/><Relationship Id="rId10" Type="http://schemas.openxmlformats.org/officeDocument/2006/relationships/hyperlink" Target="https://my.ibisworld.com/us/en/industry/32616/about" TargetMode="External"/><Relationship Id="rId4" Type="http://schemas.openxmlformats.org/officeDocument/2006/relationships/hyperlink" Target="https://rrsinc.maps.arcgis.com/apps/webappviewer/index.html?id=d0ea03d056934f94949700c63e0302a5" TargetMode="External"/><Relationship Id="rId9" Type="http://schemas.openxmlformats.org/officeDocument/2006/relationships/hyperlink" Target="https://my.ibisworld.com/us/en/industry-state/mi32619/state-industry-report" TargetMode="External"/><Relationship Id="rId1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bts.gov/topics/national-transportation-statistics" TargetMode="External"/><Relationship Id="rId2" Type="http://schemas.openxmlformats.org/officeDocument/2006/relationships/hyperlink" Target="https://data.census.gov/table?q=cf1700a24&amp;g=040XX00US26&amp;n=326&amp;tid=CFSAREA2017.CF1700A24" TargetMode="External"/><Relationship Id="rId1" Type="http://schemas.openxmlformats.org/officeDocument/2006/relationships/hyperlink" Target="https://apps.bea.gov/iTable/?reqid=99&amp;step=1&amp;acrdn=1" TargetMode="External"/><Relationship Id="rId5" Type="http://schemas.openxmlformats.org/officeDocument/2006/relationships/printerSettings" Target="../printerSettings/printerSettings4.bin"/><Relationship Id="rId4" Type="http://schemas.openxmlformats.org/officeDocument/2006/relationships/hyperlink" Target="https://www.census.gov/data/tables/2019/econ/susb/2019-susb-annual.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bts.gov/topics/national-transportation-statistics" TargetMode="External"/><Relationship Id="rId7" Type="http://schemas.openxmlformats.org/officeDocument/2006/relationships/comments" Target="../comments4.xml"/><Relationship Id="rId2" Type="http://schemas.openxmlformats.org/officeDocument/2006/relationships/hyperlink" Target="https://data.census.gov/table?q=cf1700a24&amp;g=040XX00US26&amp;n=326&amp;tid=CFSAREA2017.CF1700A24" TargetMode="External"/><Relationship Id="rId1" Type="http://schemas.openxmlformats.org/officeDocument/2006/relationships/hyperlink" Target="https://apps.bea.gov/iTable/?reqid=99&amp;step=1&amp;acrdn=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www.census.gov/data/tables/2019/econ/susb/2019-susb-annual.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bts.gov/topics/national-transportation-statistics" TargetMode="External"/><Relationship Id="rId2" Type="http://schemas.openxmlformats.org/officeDocument/2006/relationships/hyperlink" Target="https://data.census.gov/table?q=cf1700a24&amp;g=040XX00US26&amp;n=326&amp;tid=CFSAREA2017.CF1700A24" TargetMode="External"/><Relationship Id="rId1" Type="http://schemas.openxmlformats.org/officeDocument/2006/relationships/hyperlink" Target="https://apps.bea.gov/iTable/?reqid=99&amp;step=1&amp;acrdn=1" TargetMode="External"/><Relationship Id="rId5" Type="http://schemas.openxmlformats.org/officeDocument/2006/relationships/printerSettings" Target="../printerSettings/printerSettings6.bin"/><Relationship Id="rId4" Type="http://schemas.openxmlformats.org/officeDocument/2006/relationships/hyperlink" Target="https://www.census.gov/data/tables/2019/econ/susb/2019-susb-annual.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bts.gov/topics/national-transportation-statistics" TargetMode="External"/><Relationship Id="rId7" Type="http://schemas.openxmlformats.org/officeDocument/2006/relationships/comments" Target="../comments5.xml"/><Relationship Id="rId2" Type="http://schemas.openxmlformats.org/officeDocument/2006/relationships/hyperlink" Target="https://data.census.gov/table?q=cf1700a24&amp;g=040XX00US26&amp;n=326&amp;tid=CFSAREA2017.CF1700A24" TargetMode="External"/><Relationship Id="rId1" Type="http://schemas.openxmlformats.org/officeDocument/2006/relationships/hyperlink" Target="https://apps.bea.gov/iTable/?reqid=99&amp;step=1&amp;acrdn=1" TargetMode="External"/><Relationship Id="rId6" Type="http://schemas.openxmlformats.org/officeDocument/2006/relationships/vmlDrawing" Target="../drawings/vmlDrawing5.vml"/><Relationship Id="rId5" Type="http://schemas.openxmlformats.org/officeDocument/2006/relationships/printerSettings" Target="../printerSettings/printerSettings7.bin"/><Relationship Id="rId4" Type="http://schemas.openxmlformats.org/officeDocument/2006/relationships/hyperlink" Target="https://www.census.gov/data/tables/2019/econ/susb/2019-susb-an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4841-D199-46D0-9C7C-0E9B32012D18}">
  <dimension ref="D3:G8"/>
  <sheetViews>
    <sheetView zoomScale="85" zoomScaleNormal="85" workbookViewId="0">
      <selection activeCell="L5" sqref="L5"/>
    </sheetView>
  </sheetViews>
  <sheetFormatPr defaultRowHeight="14.4" x14ac:dyDescent="0.55000000000000004"/>
  <cols>
    <col min="5" max="5" width="10.68359375" customWidth="1"/>
    <col min="6" max="6" width="12.20703125" customWidth="1"/>
    <col min="7" max="7" width="82.20703125" style="122" customWidth="1"/>
  </cols>
  <sheetData>
    <row r="3" spans="4:7" ht="57.6" x14ac:dyDescent="0.55000000000000004">
      <c r="D3" s="172" t="s">
        <v>337</v>
      </c>
      <c r="E3" s="172" t="s">
        <v>403</v>
      </c>
      <c r="F3" s="172" t="s">
        <v>402</v>
      </c>
      <c r="G3" s="172" t="s">
        <v>85</v>
      </c>
    </row>
    <row r="4" spans="4:7" ht="43.2" x14ac:dyDescent="0.55000000000000004">
      <c r="D4" s="185" t="s">
        <v>3</v>
      </c>
      <c r="E4" s="173">
        <v>2.23</v>
      </c>
      <c r="F4" s="23">
        <f>61.4*1000</f>
        <v>61400</v>
      </c>
      <c r="G4" s="193" t="s">
        <v>397</v>
      </c>
    </row>
    <row r="5" spans="4:7" ht="57.6" x14ac:dyDescent="0.55000000000000004">
      <c r="D5" s="185" t="s">
        <v>1</v>
      </c>
      <c r="E5" s="173">
        <v>1.61</v>
      </c>
      <c r="F5" s="23">
        <f>73.8*1000</f>
        <v>73800</v>
      </c>
      <c r="G5" s="193" t="s">
        <v>398</v>
      </c>
    </row>
    <row r="6" spans="4:7" ht="43.2" x14ac:dyDescent="0.55000000000000004">
      <c r="D6" s="185" t="s">
        <v>339</v>
      </c>
      <c r="E6" s="173">
        <v>1.93</v>
      </c>
      <c r="F6" s="23">
        <f>80.3*1000</f>
        <v>80300</v>
      </c>
      <c r="G6" s="193" t="s">
        <v>399</v>
      </c>
    </row>
    <row r="7" spans="4:7" ht="57.6" x14ac:dyDescent="0.55000000000000004">
      <c r="D7" s="185" t="s">
        <v>340</v>
      </c>
      <c r="E7" s="173">
        <v>1.47</v>
      </c>
      <c r="F7" s="23">
        <f>72.8*1000</f>
        <v>72800</v>
      </c>
      <c r="G7" s="193" t="s">
        <v>400</v>
      </c>
    </row>
    <row r="8" spans="4:7" ht="43.2" x14ac:dyDescent="0.55000000000000004">
      <c r="D8" s="185" t="s">
        <v>2</v>
      </c>
      <c r="E8" s="173">
        <v>1.55</v>
      </c>
      <c r="F8" s="23">
        <f>75.5*1000</f>
        <v>75500</v>
      </c>
      <c r="G8" s="193" t="s">
        <v>401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0838-31F5-4520-AEB9-3F31C1431451}">
  <dimension ref="A1:V71"/>
  <sheetViews>
    <sheetView zoomScale="80" zoomScaleNormal="80" workbookViewId="0">
      <selection activeCell="E2" sqref="E2"/>
    </sheetView>
  </sheetViews>
  <sheetFormatPr defaultRowHeight="14.4" x14ac:dyDescent="0.55000000000000004"/>
  <cols>
    <col min="1" max="1" width="69.20703125" bestFit="1" customWidth="1"/>
    <col min="2" max="2" width="16.20703125" customWidth="1"/>
    <col min="3" max="3" width="9.3125" bestFit="1" customWidth="1"/>
    <col min="5" max="5" width="9.3125" bestFit="1" customWidth="1"/>
    <col min="6" max="6" width="44.68359375" bestFit="1" customWidth="1"/>
    <col min="7" max="7" width="11.1015625" bestFit="1" customWidth="1"/>
    <col min="8" max="8" width="35.20703125" customWidth="1"/>
    <col min="14" max="14" width="30.1015625" bestFit="1" customWidth="1"/>
    <col min="15" max="15" width="11.7890625" bestFit="1" customWidth="1"/>
    <col min="16" max="16" width="11.68359375" bestFit="1" customWidth="1"/>
    <col min="20" max="20" width="30.1015625" bestFit="1" customWidth="1"/>
    <col min="21" max="21" width="15.20703125" bestFit="1" customWidth="1"/>
  </cols>
  <sheetData>
    <row r="1" spans="1:21" x14ac:dyDescent="0.55000000000000004">
      <c r="A1" s="122"/>
      <c r="C1" s="10" t="s">
        <v>162</v>
      </c>
    </row>
    <row r="2" spans="1:21" ht="43.5" thickBot="1" x14ac:dyDescent="0.6">
      <c r="A2" s="122" t="s">
        <v>171</v>
      </c>
      <c r="B2" s="7">
        <v>4073.1</v>
      </c>
      <c r="C2" s="295" t="s">
        <v>85</v>
      </c>
      <c r="G2" s="9" t="s">
        <v>428</v>
      </c>
      <c r="O2" s="163" t="s">
        <v>284</v>
      </c>
      <c r="P2" s="10" t="s">
        <v>428</v>
      </c>
      <c r="U2" s="21" t="s">
        <v>353</v>
      </c>
    </row>
    <row r="3" spans="1:21" ht="14.7" thickBot="1" x14ac:dyDescent="0.6">
      <c r="A3" s="122" t="s">
        <v>172</v>
      </c>
      <c r="B3" s="7">
        <v>83799</v>
      </c>
      <c r="C3" s="295"/>
      <c r="F3" s="106" t="s">
        <v>218</v>
      </c>
      <c r="G3" s="113">
        <f>B12*B10*1000000</f>
        <v>412583.14513587498</v>
      </c>
      <c r="J3" s="107"/>
      <c r="N3" t="s">
        <v>404</v>
      </c>
      <c r="O3" s="7">
        <f>G3*'Virgin Resins_LCIA'!E8</f>
        <v>639503.87496060622</v>
      </c>
      <c r="T3" t="s">
        <v>404</v>
      </c>
      <c r="U3" s="7">
        <f>G3*'Virgin Resins_LCIA'!F8</f>
        <v>31150027457.75856</v>
      </c>
    </row>
    <row r="4" spans="1:21" ht="14.7" thickBot="1" x14ac:dyDescent="0.6">
      <c r="A4" s="140" t="s">
        <v>173</v>
      </c>
      <c r="B4" s="139">
        <f>B2/B3</f>
        <v>4.8605591952171269E-2</v>
      </c>
      <c r="N4" t="s">
        <v>78</v>
      </c>
      <c r="O4" s="8">
        <f>(G5-G6)*'Semi-mfg._LCIA'!E5</f>
        <v>126723.26269590345</v>
      </c>
      <c r="P4" s="8">
        <f>(G5-G6)</f>
        <v>123032.29387951791</v>
      </c>
      <c r="T4" t="s">
        <v>78</v>
      </c>
      <c r="U4" s="8">
        <f>(G5-G6)*('Semi-mfg._LCIA'!F5*1000)</f>
        <v>3223446099.6433692</v>
      </c>
    </row>
    <row r="5" spans="1:21" ht="14.7" thickBot="1" x14ac:dyDescent="0.6">
      <c r="A5" s="122"/>
      <c r="E5" s="8"/>
      <c r="F5" s="106" t="s">
        <v>78</v>
      </c>
      <c r="G5" s="7">
        <f>0.3*G3</f>
        <v>123774.94354076248</v>
      </c>
      <c r="H5" s="157" t="s">
        <v>226</v>
      </c>
      <c r="N5" t="s">
        <v>274</v>
      </c>
      <c r="O5" s="8">
        <f>SUM(O6:O8)</f>
        <v>322046.31235040363</v>
      </c>
      <c r="P5" s="8">
        <f>SUM(P6:P8)</f>
        <v>145509.82362652037</v>
      </c>
      <c r="T5" t="s">
        <v>274</v>
      </c>
      <c r="U5" s="8">
        <f>SUM(U6:U8)</f>
        <v>7086737363.0250015</v>
      </c>
    </row>
    <row r="6" spans="1:21" ht="14.7" thickBot="1" x14ac:dyDescent="0.6">
      <c r="A6" s="122" t="s">
        <v>174</v>
      </c>
      <c r="B6" s="7">
        <v>46989</v>
      </c>
      <c r="C6" s="294" t="s">
        <v>85</v>
      </c>
      <c r="F6" s="112" t="s">
        <v>109</v>
      </c>
      <c r="G6" s="7">
        <f>0.006*G5</f>
        <v>742.64966124457487</v>
      </c>
      <c r="H6" s="158" t="s">
        <v>216</v>
      </c>
      <c r="N6" s="118" t="s">
        <v>80</v>
      </c>
      <c r="O6" s="8">
        <f>(G8-G9)*'Semi-mfg._LCIA'!E9</f>
        <v>14967.65833258766</v>
      </c>
      <c r="P6" s="8">
        <f>(G8-G9)</f>
        <v>36241.303468735256</v>
      </c>
      <c r="T6" s="118" t="s">
        <v>80</v>
      </c>
      <c r="U6" s="8">
        <f>(G8-G9)*('Semi-mfg._LCIA'!F9*1000)</f>
        <v>387781947.11546725</v>
      </c>
    </row>
    <row r="7" spans="1:21" ht="14.7" thickBot="1" x14ac:dyDescent="0.6">
      <c r="A7" s="122" t="s">
        <v>175</v>
      </c>
      <c r="B7" s="7">
        <v>655529</v>
      </c>
      <c r="C7" s="294"/>
      <c r="E7" s="8"/>
      <c r="F7" s="106" t="s">
        <v>79</v>
      </c>
      <c r="G7" s="7">
        <f>G8+G10+G12</f>
        <v>148529.93224891499</v>
      </c>
      <c r="H7" s="106"/>
      <c r="N7" s="118" t="s">
        <v>81</v>
      </c>
      <c r="O7" s="8">
        <f>(G10-G11)*'Semi-mfg._LCIA'!E11</f>
        <v>17128.42227696746</v>
      </c>
      <c r="P7" s="8">
        <f>(G10-G11)</f>
        <v>49361.44748405608</v>
      </c>
      <c r="T7" s="118" t="s">
        <v>81</v>
      </c>
      <c r="U7" s="8">
        <f>(G10-G11)*('Semi-mfg._LCIA'!F11*1000)</f>
        <v>408712785.16798437</v>
      </c>
    </row>
    <row r="8" spans="1:21" ht="14.7" thickBot="1" x14ac:dyDescent="0.6">
      <c r="A8" s="140" t="s">
        <v>84</v>
      </c>
      <c r="B8" s="139">
        <f>B6/B7</f>
        <v>7.168103928277772E-2</v>
      </c>
      <c r="F8" s="112" t="s">
        <v>80</v>
      </c>
      <c r="G8" s="7">
        <f>0.09*G3</f>
        <v>37132.483062228748</v>
      </c>
      <c r="H8" s="157" t="s">
        <v>227</v>
      </c>
      <c r="N8" s="118" t="s">
        <v>219</v>
      </c>
      <c r="O8" s="8">
        <f>(G12-G13)*'Semi-mfg._LCIA'!E14</f>
        <v>289950.23174084851</v>
      </c>
      <c r="P8" s="8">
        <f>(G12-G13)</f>
        <v>59907.072673729039</v>
      </c>
      <c r="T8" s="118" t="s">
        <v>219</v>
      </c>
      <c r="U8" s="8">
        <f>(G12-G13)*('Semi-mfg._LCIA'!F14*1000)</f>
        <v>6290242630.7415495</v>
      </c>
    </row>
    <row r="9" spans="1:21" ht="14.7" thickBot="1" x14ac:dyDescent="0.6">
      <c r="A9" s="122"/>
      <c r="E9" s="8"/>
      <c r="F9" s="112" t="s">
        <v>109</v>
      </c>
      <c r="G9" s="7">
        <f>0.024*G8</f>
        <v>891.17959349348996</v>
      </c>
      <c r="H9" s="118" t="s">
        <v>110</v>
      </c>
      <c r="N9" s="2" t="s">
        <v>220</v>
      </c>
      <c r="O9" s="8">
        <f>(G14-G15)*'Semi-mfg._LCIA'!E4</f>
        <v>4113.4539570046736</v>
      </c>
      <c r="P9" s="8">
        <f>(G14-G15)</f>
        <v>4113.4539570046736</v>
      </c>
      <c r="T9" s="2" t="s">
        <v>220</v>
      </c>
      <c r="U9" s="8">
        <f>(G14-G15)*('Semi-mfg._LCIA'!F4*1000)</f>
        <v>114765365.4004304</v>
      </c>
    </row>
    <row r="10" spans="1:21" ht="14.7" thickBot="1" x14ac:dyDescent="0.6">
      <c r="A10" s="141" t="s">
        <v>601</v>
      </c>
      <c r="B10" s="142">
        <f>AVERAGE(B4,B8)</f>
        <v>6.0143315617474491E-2</v>
      </c>
      <c r="F10" s="112" t="s">
        <v>81</v>
      </c>
      <c r="G10" s="7">
        <f>0.12*G3</f>
        <v>49509.977416304995</v>
      </c>
      <c r="H10" s="157" t="s">
        <v>228</v>
      </c>
      <c r="N10" s="2" t="s">
        <v>83</v>
      </c>
      <c r="O10" s="8">
        <f>(G16-G17)*'Semi-mfg._LCIA'!N6</f>
        <v>84152.433179901112</v>
      </c>
      <c r="P10" s="8">
        <f>(G16-G17)</f>
        <v>134763.68302831138</v>
      </c>
      <c r="T10" s="2" t="s">
        <v>83</v>
      </c>
      <c r="U10" s="8">
        <f>(G16-G17)*('Semi-mfg._LCIA'!O6*1000)</f>
        <v>2112196125.3304002</v>
      </c>
    </row>
    <row r="11" spans="1:21" ht="14.7" thickBot="1" x14ac:dyDescent="0.6">
      <c r="F11" s="112" t="s">
        <v>109</v>
      </c>
      <c r="G11" s="7">
        <f>0.003*G10</f>
        <v>148.52993224891497</v>
      </c>
      <c r="H11" s="159" t="s">
        <v>111</v>
      </c>
    </row>
    <row r="12" spans="1:21" ht="14.7" thickBot="1" x14ac:dyDescent="0.6">
      <c r="A12" s="106" t="s">
        <v>304</v>
      </c>
      <c r="B12" s="155">
        <v>6.8599999999999994</v>
      </c>
      <c r="C12" t="s">
        <v>585</v>
      </c>
      <c r="F12" s="112" t="s">
        <v>219</v>
      </c>
      <c r="G12" s="7">
        <f>0.15*G3</f>
        <v>61887.471770381242</v>
      </c>
      <c r="H12" s="157" t="s">
        <v>229</v>
      </c>
      <c r="N12" t="s">
        <v>275</v>
      </c>
      <c r="O12" s="8">
        <f>(G20+G59+G65+G24)*EOL_LCIA!D8</f>
        <v>5265.2470114066573</v>
      </c>
      <c r="P12" s="8">
        <f>(G20+G59+G65+G24)</f>
        <v>239329.40960939354</v>
      </c>
      <c r="T12" t="s">
        <v>275</v>
      </c>
      <c r="U12" s="8">
        <f>(G20+G59+G65+G24)*(EOL_LCIA!E8*1000)</f>
        <v>74192116.978911996</v>
      </c>
    </row>
    <row r="13" spans="1:21" ht="14.7" thickBot="1" x14ac:dyDescent="0.6">
      <c r="F13" s="112" t="s">
        <v>109</v>
      </c>
      <c r="G13" s="7">
        <f>0.032*G12</f>
        <v>1980.3990966521999</v>
      </c>
      <c r="H13" s="112" t="s">
        <v>232</v>
      </c>
      <c r="N13" s="122" t="s">
        <v>276</v>
      </c>
      <c r="O13" s="8">
        <f>(G21+G60+G66+G25)*EOL_LCIA!I8</f>
        <v>6953.6262981870441</v>
      </c>
      <c r="P13" s="8">
        <f>(G21+G60+G66+G25)</f>
        <v>4896.9199283007356</v>
      </c>
      <c r="T13" s="122" t="s">
        <v>276</v>
      </c>
      <c r="U13" s="8">
        <f>(G21+G60+G66+G25)*(EOL_LCIA!J8*1000)</f>
        <v>-106997700.43337107</v>
      </c>
    </row>
    <row r="14" spans="1:21" ht="14.7" thickBot="1" x14ac:dyDescent="0.6">
      <c r="E14" s="8"/>
      <c r="F14" s="106" t="s">
        <v>220</v>
      </c>
      <c r="G14" s="7">
        <f>0.01*G3</f>
        <v>4125.8314513587502</v>
      </c>
      <c r="H14" s="157" t="s">
        <v>230</v>
      </c>
      <c r="N14" t="s">
        <v>277</v>
      </c>
      <c r="O14" s="8">
        <f>G67*EOL_LCIA!E30</f>
        <v>398.04027166188951</v>
      </c>
      <c r="P14" s="8">
        <f>G67</f>
        <v>4472.3626029425786</v>
      </c>
      <c r="T14" t="s">
        <v>277</v>
      </c>
      <c r="U14" s="8">
        <f>G67*EOL_LCIA!F30</f>
        <v>5961659.3497224571</v>
      </c>
    </row>
    <row r="15" spans="1:21" ht="14.7" thickBot="1" x14ac:dyDescent="0.6">
      <c r="A15" t="s">
        <v>379</v>
      </c>
      <c r="F15" s="112" t="s">
        <v>109</v>
      </c>
      <c r="G15" s="7">
        <f>0.003*G14</f>
        <v>12.377494354076251</v>
      </c>
      <c r="H15" s="159" t="s">
        <v>111</v>
      </c>
      <c r="N15" t="s">
        <v>199</v>
      </c>
      <c r="O15" s="8">
        <f>G23*(EOL_LCIA!I30/2)</f>
        <v>147.79055024617986</v>
      </c>
      <c r="P15" s="8">
        <f>G23</f>
        <v>557.70018960822586</v>
      </c>
      <c r="T15" t="s">
        <v>199</v>
      </c>
      <c r="U15" s="8">
        <f>G23*(EOL_LCIA!J30/2)</f>
        <v>2478977.3428085637</v>
      </c>
    </row>
    <row r="16" spans="1:21" ht="14.7" thickBot="1" x14ac:dyDescent="0.6">
      <c r="A16" t="s">
        <v>380</v>
      </c>
      <c r="E16" s="8"/>
      <c r="F16" s="106" t="s">
        <v>83</v>
      </c>
      <c r="G16" s="7">
        <f>0.33*G3</f>
        <v>136152.43789483875</v>
      </c>
      <c r="H16" s="157" t="s">
        <v>231</v>
      </c>
      <c r="N16" t="s">
        <v>379</v>
      </c>
      <c r="O16" s="8">
        <f>(1.05*10^6)*B19</f>
        <v>14764.457295373666</v>
      </c>
      <c r="T16" t="s">
        <v>379</v>
      </c>
      <c r="U16" s="8">
        <f>(14*10^9)*B19</f>
        <v>196859430.60498223</v>
      </c>
    </row>
    <row r="17" spans="1:22" ht="14.7" thickBot="1" x14ac:dyDescent="0.6">
      <c r="A17" t="s">
        <v>381</v>
      </c>
      <c r="B17" s="7">
        <f>3161000*0.907185</f>
        <v>2867611.7850000001</v>
      </c>
      <c r="C17" t="s">
        <v>103</v>
      </c>
      <c r="D17" s="3" t="s">
        <v>85</v>
      </c>
      <c r="F17" s="112" t="s">
        <v>109</v>
      </c>
      <c r="G17" s="7">
        <f>0.0102*G16</f>
        <v>1388.7548665273553</v>
      </c>
      <c r="H17" s="156" t="s">
        <v>233</v>
      </c>
      <c r="N17" s="291" t="s">
        <v>261</v>
      </c>
      <c r="O17" s="8">
        <f>O4+O5+O9+O10+O12+O13+O14+O15+O16</f>
        <v>564564.62361008837</v>
      </c>
      <c r="P17" t="s">
        <v>348</v>
      </c>
      <c r="T17" s="291" t="s">
        <v>261</v>
      </c>
      <c r="U17" s="8">
        <f>U4+U5+U9+U10+U12+U13+U14+U15+U16</f>
        <v>12709639437.242256</v>
      </c>
      <c r="V17" t="s">
        <v>354</v>
      </c>
    </row>
    <row r="18" spans="1:22" x14ac:dyDescent="0.55000000000000004">
      <c r="A18" t="s">
        <v>382</v>
      </c>
      <c r="B18" s="7">
        <f>(224.8*0.907185*10^6)</f>
        <v>203935188</v>
      </c>
      <c r="C18" t="s">
        <v>103</v>
      </c>
      <c r="D18" s="3" t="s">
        <v>85</v>
      </c>
      <c r="N18" s="291"/>
      <c r="O18" s="200">
        <f>O17/10^6</f>
        <v>0.56456462361008841</v>
      </c>
      <c r="P18" t="s">
        <v>287</v>
      </c>
      <c r="T18" s="291"/>
      <c r="U18" s="11">
        <f>U17/10^9</f>
        <v>12.709639437242256</v>
      </c>
      <c r="V18" t="s">
        <v>356</v>
      </c>
    </row>
    <row r="19" spans="1:22" x14ac:dyDescent="0.55000000000000004">
      <c r="A19" t="s">
        <v>383</v>
      </c>
      <c r="B19" s="190">
        <f>B17/B18</f>
        <v>1.4061387900355873E-2</v>
      </c>
      <c r="E19" s="8"/>
      <c r="F19" t="s">
        <v>115</v>
      </c>
      <c r="G19" s="8">
        <f>G6+G9+G11+G13+G15+G17</f>
        <v>5163.8906445206103</v>
      </c>
    </row>
    <row r="20" spans="1:22" x14ac:dyDescent="0.55000000000000004">
      <c r="F20" s="118" t="s">
        <v>120</v>
      </c>
      <c r="G20" s="7">
        <f>(0.86*G19)</f>
        <v>4440.9459542877248</v>
      </c>
      <c r="H20" s="110" t="s">
        <v>573</v>
      </c>
      <c r="N20" t="s">
        <v>377</v>
      </c>
      <c r="O20">
        <v>23.3</v>
      </c>
      <c r="P20" t="s">
        <v>287</v>
      </c>
      <c r="T20" t="s">
        <v>355</v>
      </c>
      <c r="U20">
        <v>3039</v>
      </c>
      <c r="V20" t="s">
        <v>356</v>
      </c>
    </row>
    <row r="21" spans="1:22" x14ac:dyDescent="0.55000000000000004">
      <c r="F21" s="118" t="s">
        <v>121</v>
      </c>
      <c r="G21" s="7">
        <f>(0.02*G19)</f>
        <v>103.27781289041221</v>
      </c>
      <c r="H21" s="110" t="s">
        <v>573</v>
      </c>
      <c r="N21" t="s">
        <v>350</v>
      </c>
      <c r="O21">
        <v>190.89</v>
      </c>
      <c r="P21" t="s">
        <v>287</v>
      </c>
      <c r="T21" t="s">
        <v>357</v>
      </c>
      <c r="U21" s="116">
        <v>744.02538730000003</v>
      </c>
      <c r="V21" t="s">
        <v>356</v>
      </c>
    </row>
    <row r="22" spans="1:22" x14ac:dyDescent="0.55000000000000004">
      <c r="F22" s="118" t="s">
        <v>346</v>
      </c>
      <c r="G22" s="8">
        <f>0.12*G19</f>
        <v>619.66687734247319</v>
      </c>
      <c r="H22" s="110" t="s">
        <v>573</v>
      </c>
    </row>
    <row r="23" spans="1:22" ht="129.6" x14ac:dyDescent="0.55000000000000004">
      <c r="F23" s="118" t="s">
        <v>370</v>
      </c>
      <c r="G23" s="8">
        <f>0.9*G22</f>
        <v>557.70018960822586</v>
      </c>
      <c r="H23" s="269" t="s">
        <v>478</v>
      </c>
      <c r="T23" t="s">
        <v>378</v>
      </c>
      <c r="U23">
        <v>763.6</v>
      </c>
      <c r="V23" t="s">
        <v>356</v>
      </c>
    </row>
    <row r="24" spans="1:22" x14ac:dyDescent="0.55000000000000004">
      <c r="F24" s="118" t="s">
        <v>120</v>
      </c>
      <c r="G24" s="8">
        <f>(0.98*0.1*G22)</f>
        <v>60.727353979562373</v>
      </c>
      <c r="H24" t="s">
        <v>293</v>
      </c>
      <c r="N24" t="s">
        <v>371</v>
      </c>
      <c r="O24" s="164">
        <f>O18/O20</f>
        <v>2.4230241356656156E-2</v>
      </c>
    </row>
    <row r="25" spans="1:22" x14ac:dyDescent="0.55000000000000004">
      <c r="F25" s="118" t="s">
        <v>121</v>
      </c>
      <c r="G25" s="8">
        <f>(0.02*0.1*G22)</f>
        <v>1.2393337546849463</v>
      </c>
      <c r="H25" t="s">
        <v>293</v>
      </c>
      <c r="N25" t="s">
        <v>392</v>
      </c>
      <c r="O25" s="164">
        <f>O18/O21</f>
        <v>2.9575390204310778E-3</v>
      </c>
    </row>
    <row r="26" spans="1:22" ht="28.8" x14ac:dyDescent="0.55000000000000004">
      <c r="F26" t="s">
        <v>272</v>
      </c>
      <c r="G26" s="7">
        <f>'Trade Data'!F61/1000</f>
        <v>4377.7545</v>
      </c>
      <c r="T26" s="152" t="s">
        <v>371</v>
      </c>
      <c r="U26" s="164">
        <f>U18/U23</f>
        <v>1.6644368042485928E-2</v>
      </c>
    </row>
    <row r="27" spans="1:22" ht="28.8" x14ac:dyDescent="0.55000000000000004">
      <c r="F27" t="s">
        <v>273</v>
      </c>
      <c r="G27" s="7">
        <f>'Trade Data'!D61/1000</f>
        <v>932.95118000000002</v>
      </c>
      <c r="O27" s="11"/>
      <c r="T27" s="152" t="s">
        <v>390</v>
      </c>
      <c r="U27" s="164">
        <f>U18/U20</f>
        <v>4.1821781629622426E-3</v>
      </c>
    </row>
    <row r="28" spans="1:22" ht="28.8" x14ac:dyDescent="0.55000000000000004">
      <c r="A28" t="s">
        <v>586</v>
      </c>
      <c r="B28" s="254">
        <v>0.90718500000000002</v>
      </c>
      <c r="C28" t="s">
        <v>103</v>
      </c>
      <c r="F28" t="s">
        <v>185</v>
      </c>
      <c r="G28" s="8">
        <f>G26-G27</f>
        <v>3444.80332</v>
      </c>
      <c r="H28" t="s">
        <v>186</v>
      </c>
      <c r="O28" s="11"/>
      <c r="T28" s="152" t="s">
        <v>391</v>
      </c>
      <c r="U28" s="164">
        <f>U18/U21</f>
        <v>1.7082265812681973E-2</v>
      </c>
    </row>
    <row r="29" spans="1:22" x14ac:dyDescent="0.55000000000000004">
      <c r="F29" t="s">
        <v>187</v>
      </c>
      <c r="G29" s="8">
        <f>G5+G7+G14+G16-G19+G26</f>
        <v>411797.00899135432</v>
      </c>
    </row>
    <row r="30" spans="1:22" ht="28.8" x14ac:dyDescent="0.55000000000000004">
      <c r="F30" s="152" t="s">
        <v>188</v>
      </c>
      <c r="G30" s="8">
        <f>G27+G58</f>
        <v>245025.45286572448</v>
      </c>
    </row>
    <row r="31" spans="1:22" x14ac:dyDescent="0.55000000000000004">
      <c r="F31" t="s">
        <v>192</v>
      </c>
      <c r="G31" s="8">
        <f>G29-G30</f>
        <v>166771.55612562984</v>
      </c>
    </row>
    <row r="32" spans="1:22" x14ac:dyDescent="0.55000000000000004">
      <c r="F32" s="8"/>
      <c r="G32" s="8"/>
    </row>
    <row r="33" spans="2:8" x14ac:dyDescent="0.55000000000000004">
      <c r="E33" s="13"/>
      <c r="F33" s="292" t="s">
        <v>87</v>
      </c>
      <c r="G33" s="292"/>
      <c r="H33" s="292"/>
    </row>
    <row r="34" spans="2:8" x14ac:dyDescent="0.55000000000000004">
      <c r="F34" s="10" t="s">
        <v>97</v>
      </c>
      <c r="G34" s="8"/>
    </row>
    <row r="35" spans="2:8" x14ac:dyDescent="0.55000000000000004">
      <c r="B35" s="13"/>
      <c r="F35" t="s">
        <v>131</v>
      </c>
      <c r="G35" s="7">
        <f>23300*B28</f>
        <v>21137.410500000002</v>
      </c>
      <c r="H35" t="s">
        <v>88</v>
      </c>
    </row>
    <row r="36" spans="2:8" x14ac:dyDescent="0.55000000000000004">
      <c r="E36" s="8"/>
      <c r="F36" t="s">
        <v>133</v>
      </c>
      <c r="G36" s="7">
        <f>5100*B28</f>
        <v>4626.6435000000001</v>
      </c>
      <c r="H36" t="s">
        <v>88</v>
      </c>
    </row>
    <row r="37" spans="2:8" x14ac:dyDescent="0.55000000000000004">
      <c r="F37" t="s">
        <v>132</v>
      </c>
      <c r="G37" s="7">
        <f>(G35/0.98)*0.02</f>
        <v>431.37572448979597</v>
      </c>
      <c r="H37" t="s">
        <v>293</v>
      </c>
    </row>
    <row r="38" spans="2:8" x14ac:dyDescent="0.55000000000000004">
      <c r="F38" t="s">
        <v>300</v>
      </c>
      <c r="G38" s="7">
        <f>G35+G36+G37</f>
        <v>26195.429724489801</v>
      </c>
    </row>
    <row r="39" spans="2:8" x14ac:dyDescent="0.55000000000000004">
      <c r="E39" s="8"/>
      <c r="F39" t="s">
        <v>295</v>
      </c>
      <c r="G39" s="7">
        <f>'U.S. Post-consumer Waste Mgmt'!E53*'U.S. Post-consumer Waste Mgmt'!P19*1000</f>
        <v>27857.726921626207</v>
      </c>
      <c r="H39" t="s">
        <v>101</v>
      </c>
    </row>
    <row r="40" spans="2:8" x14ac:dyDescent="0.55000000000000004">
      <c r="F40" s="118" t="s">
        <v>296</v>
      </c>
      <c r="G40" s="7">
        <f>'U.S. Post-consumer Waste Mgmt'!F53*'U.S. Post-consumer Waste Mgmt'!P19*1000</f>
        <v>827.4572352958279</v>
      </c>
      <c r="H40" t="s">
        <v>101</v>
      </c>
    </row>
    <row r="41" spans="2:8" x14ac:dyDescent="0.55000000000000004">
      <c r="F41" s="118" t="s">
        <v>297</v>
      </c>
      <c r="G41" s="7">
        <f>(G39-G40)*0.98</f>
        <v>26489.664292603771</v>
      </c>
      <c r="H41" t="s">
        <v>293</v>
      </c>
    </row>
    <row r="42" spans="2:8" x14ac:dyDescent="0.55000000000000004">
      <c r="E42" s="13"/>
      <c r="F42" s="118" t="s">
        <v>298</v>
      </c>
      <c r="G42" s="7">
        <f>(G39-G40)*0.02</f>
        <v>540.60539372660764</v>
      </c>
      <c r="H42" t="s">
        <v>293</v>
      </c>
    </row>
    <row r="43" spans="2:8" x14ac:dyDescent="0.55000000000000004">
      <c r="F43" t="s">
        <v>134</v>
      </c>
      <c r="G43" s="7">
        <f>'U.S. Post-consumer Waste Mgmt'!E52*'U.S. Post-consumer Waste Mgmt'!P19*1000</f>
        <v>15721.687470620731</v>
      </c>
      <c r="H43" t="s">
        <v>101</v>
      </c>
    </row>
    <row r="44" spans="2:8" x14ac:dyDescent="0.55000000000000004">
      <c r="F44" s="118" t="s">
        <v>21</v>
      </c>
      <c r="G44" s="8">
        <f>0.98*G43</f>
        <v>15407.253721208315</v>
      </c>
      <c r="H44" t="s">
        <v>293</v>
      </c>
    </row>
    <row r="45" spans="2:8" x14ac:dyDescent="0.55000000000000004">
      <c r="F45" s="118" t="s">
        <v>121</v>
      </c>
      <c r="G45" s="8">
        <f>0.02*G43</f>
        <v>314.43374941241461</v>
      </c>
      <c r="H45" t="s">
        <v>293</v>
      </c>
    </row>
    <row r="46" spans="2:8" x14ac:dyDescent="0.55000000000000004">
      <c r="F46" s="10" t="s">
        <v>135</v>
      </c>
      <c r="G46" s="12">
        <f>G47+G48+G49</f>
        <v>69774.844116736727</v>
      </c>
    </row>
    <row r="47" spans="2:8" x14ac:dyDescent="0.55000000000000004">
      <c r="F47" s="118" t="s">
        <v>242</v>
      </c>
      <c r="G47" s="8">
        <f>G35+G41+G44</f>
        <v>63034.328513812085</v>
      </c>
    </row>
    <row r="48" spans="2:8" x14ac:dyDescent="0.55000000000000004">
      <c r="F48" s="118" t="s">
        <v>243</v>
      </c>
      <c r="G48" s="8">
        <f>G37+G42+G45</f>
        <v>1286.4148676288182</v>
      </c>
    </row>
    <row r="49" spans="4:8" x14ac:dyDescent="0.55000000000000004">
      <c r="F49" s="118" t="s">
        <v>244</v>
      </c>
      <c r="G49" s="8">
        <f>G36+G40</f>
        <v>5454.1007352958277</v>
      </c>
    </row>
    <row r="51" spans="4:8" x14ac:dyDescent="0.55000000000000004">
      <c r="E51" s="8"/>
      <c r="F51" s="10" t="s">
        <v>136</v>
      </c>
      <c r="G51" s="154">
        <f>'U.S. Post-consumer Waste Mgmt'!F20*'U.S. Post-consumer Waste Mgmt'!P19*1000</f>
        <v>47716.700568726075</v>
      </c>
      <c r="H51" t="s">
        <v>101</v>
      </c>
    </row>
    <row r="52" spans="4:8" x14ac:dyDescent="0.55000000000000004">
      <c r="F52" s="118" t="s">
        <v>120</v>
      </c>
      <c r="G52" s="8">
        <f>0.98*G51</f>
        <v>46762.366557351554</v>
      </c>
      <c r="H52" t="s">
        <v>293</v>
      </c>
    </row>
    <row r="53" spans="4:8" x14ac:dyDescent="0.55000000000000004">
      <c r="F53" s="118" t="s">
        <v>121</v>
      </c>
      <c r="G53" s="8">
        <f>0.02*G51</f>
        <v>954.33401137452154</v>
      </c>
      <c r="H53" t="s">
        <v>293</v>
      </c>
    </row>
    <row r="54" spans="4:8" x14ac:dyDescent="0.55000000000000004">
      <c r="F54" s="10" t="s">
        <v>137</v>
      </c>
      <c r="G54" s="154">
        <f>'U.S. Post-consumer Waste Mgmt'!F25*'U.S. Post-consumer Waste Mgmt'!P19*1000</f>
        <v>126600.95700026167</v>
      </c>
      <c r="H54" t="s">
        <v>101</v>
      </c>
    </row>
    <row r="55" spans="4:8" x14ac:dyDescent="0.55000000000000004">
      <c r="D55" s="13"/>
      <c r="E55" s="8"/>
      <c r="F55" t="s">
        <v>120</v>
      </c>
      <c r="G55" s="8">
        <f>0.98*G54</f>
        <v>124068.93786025642</v>
      </c>
      <c r="H55" t="s">
        <v>293</v>
      </c>
    </row>
    <row r="56" spans="4:8" x14ac:dyDescent="0.55000000000000004">
      <c r="F56" t="s">
        <v>121</v>
      </c>
      <c r="G56" s="8">
        <f>0.02*G54</f>
        <v>2532.0191400052336</v>
      </c>
      <c r="H56" t="s">
        <v>293</v>
      </c>
    </row>
    <row r="58" spans="4:8" x14ac:dyDescent="0.55000000000000004">
      <c r="F58" s="10" t="s">
        <v>138</v>
      </c>
      <c r="G58" s="12">
        <f>G46+G51+G54</f>
        <v>244092.50168572448</v>
      </c>
    </row>
    <row r="59" spans="4:8" x14ac:dyDescent="0.55000000000000004">
      <c r="F59" s="2" t="s">
        <v>255</v>
      </c>
      <c r="G59" s="8">
        <f>G47+G52+G55</f>
        <v>233865.63293142006</v>
      </c>
    </row>
    <row r="60" spans="4:8" x14ac:dyDescent="0.55000000000000004">
      <c r="F60" t="s">
        <v>256</v>
      </c>
      <c r="G60" s="8">
        <f>G48+G53+G56</f>
        <v>4772.7680190085739</v>
      </c>
    </row>
    <row r="61" spans="4:8" x14ac:dyDescent="0.55000000000000004">
      <c r="F61" t="s">
        <v>299</v>
      </c>
      <c r="G61" s="8">
        <f>G49</f>
        <v>5454.1007352958277</v>
      </c>
    </row>
    <row r="62" spans="4:8" x14ac:dyDescent="0.55000000000000004">
      <c r="F62" s="292" t="s">
        <v>198</v>
      </c>
      <c r="G62" s="292"/>
      <c r="H62" s="292"/>
    </row>
    <row r="63" spans="4:8" x14ac:dyDescent="0.55000000000000004">
      <c r="F63" t="s">
        <v>107</v>
      </c>
      <c r="G63" s="8">
        <f>G49</f>
        <v>5454.1007352958277</v>
      </c>
    </row>
    <row r="64" spans="4:8" x14ac:dyDescent="0.55000000000000004">
      <c r="F64" s="14" t="s">
        <v>104</v>
      </c>
      <c r="G64" s="8">
        <f>G63*0.18</f>
        <v>981.73813235324894</v>
      </c>
      <c r="H64" s="114">
        <v>0.18</v>
      </c>
    </row>
    <row r="65" spans="6:8" x14ac:dyDescent="0.55000000000000004">
      <c r="F65" s="118" t="s">
        <v>105</v>
      </c>
      <c r="G65" s="8">
        <f>0.98*G64</f>
        <v>962.10336970618391</v>
      </c>
      <c r="H65" t="s">
        <v>293</v>
      </c>
    </row>
    <row r="66" spans="6:8" x14ac:dyDescent="0.55000000000000004">
      <c r="F66" s="118" t="s">
        <v>106</v>
      </c>
      <c r="G66" s="116">
        <f>0.02*G64</f>
        <v>19.634762647064978</v>
      </c>
      <c r="H66" t="s">
        <v>293</v>
      </c>
    </row>
    <row r="67" spans="6:8" x14ac:dyDescent="0.55000000000000004">
      <c r="F67" t="s">
        <v>108</v>
      </c>
      <c r="G67" s="8">
        <f>G63-G64</f>
        <v>4472.3626029425786</v>
      </c>
    </row>
    <row r="68" spans="6:8" x14ac:dyDescent="0.55000000000000004">
      <c r="F68" t="s">
        <v>266</v>
      </c>
      <c r="G68">
        <v>0</v>
      </c>
    </row>
    <row r="69" spans="6:8" x14ac:dyDescent="0.55000000000000004">
      <c r="F69" t="s">
        <v>267</v>
      </c>
      <c r="G69" s="8">
        <f>PET_MFA!B53*PET_MFA!B51</f>
        <v>123.09803240740742</v>
      </c>
    </row>
    <row r="70" spans="6:8" x14ac:dyDescent="0.55000000000000004">
      <c r="G70" s="116"/>
    </row>
    <row r="71" spans="6:8" x14ac:dyDescent="0.55000000000000004">
      <c r="F71" t="s">
        <v>254</v>
      </c>
      <c r="G71" s="8">
        <f>G67-G69</f>
        <v>4349.2645705351715</v>
      </c>
    </row>
  </sheetData>
  <mergeCells count="6">
    <mergeCell ref="T17:T18"/>
    <mergeCell ref="C2:C3"/>
    <mergeCell ref="C6:C7"/>
    <mergeCell ref="F33:H33"/>
    <mergeCell ref="F62:H62"/>
    <mergeCell ref="N17:N18"/>
  </mergeCells>
  <hyperlinks>
    <hyperlink ref="C2" r:id="rId1" location="eyJhcHBpZCI6OTksInN0ZXBzIjpbMSwyNCwyOSwyNSwyNiwyNyw0MF0sImRhdGEiOltbIlRhYmxlSWQiLCI1MDUiXSxbIkNsYXNzaWZpY2F0aW9uIiwiTkFJQ1MiXSxbIlJlYWxfVGFibGVfSWQiLCI1MDUiXSxbIk1ham9yQXJlYUtleSIsIjAiXSxbIkxpbmUiLCIzMyJdLFsiU3RhdGUiLCIwIl0sWyJVbml0X29mX01lYXN1cmUiLCJMZXZlbHMiXSxbIk1hcENvbG9yIiwiQkVBU3RhbmRhcmQiXSxbIm5SYW5nZSIsIjUiXSxbIlllYXIiLCIyMDE5Il0sWyJZZWFyQmVnaW4iLCItMSJdLFsiWWVhckVuZCIsIi0xIl1dfQ==" xr:uid="{71F1C438-77D4-4766-8A2C-37A26B95DDA6}"/>
    <hyperlink ref="D17" r:id="rId2" xr:uid="{9EA652CC-6637-4EF6-BFFB-593507BDF630}"/>
    <hyperlink ref="D18" r:id="rId3" xr:uid="{5248B88F-B212-4595-98F4-0989BC11B16B}"/>
    <hyperlink ref="C6:C7" r:id="rId4" display="Source" xr:uid="{BD4BD871-2FE9-4907-A70B-1CC597F631CC}"/>
  </hyperlinks>
  <pageMargins left="0.7" right="0.7" top="0.75" bottom="0.75" header="0.3" footer="0.3"/>
  <pageSetup orientation="portrait"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DE5C9-BB3D-43E1-9CB2-D9583C747F40}">
  <dimension ref="A1:V79"/>
  <sheetViews>
    <sheetView view="pageLayout" zoomScaleNormal="80" workbookViewId="0">
      <selection activeCell="E2" sqref="E2"/>
    </sheetView>
  </sheetViews>
  <sheetFormatPr defaultRowHeight="14.4" x14ac:dyDescent="0.55000000000000004"/>
  <cols>
    <col min="1" max="1" width="69.20703125" bestFit="1" customWidth="1"/>
    <col min="2" max="2" width="16.20703125" customWidth="1"/>
    <col min="3" max="3" width="9.3125" bestFit="1" customWidth="1"/>
    <col min="5" max="5" width="9.3125" bestFit="1" customWidth="1"/>
    <col min="6" max="6" width="44.68359375" bestFit="1" customWidth="1"/>
    <col min="7" max="7" width="11.1015625" bestFit="1" customWidth="1"/>
    <col min="8" max="8" width="36.3125" customWidth="1"/>
    <col min="9" max="10" width="11.5234375" bestFit="1" customWidth="1"/>
    <col min="14" max="14" width="30.1015625" bestFit="1" customWidth="1"/>
    <col min="15" max="15" width="11.7890625" bestFit="1" customWidth="1"/>
    <col min="16" max="16" width="11.68359375" bestFit="1" customWidth="1"/>
    <col min="20" max="20" width="30.1015625" bestFit="1" customWidth="1"/>
    <col min="21" max="21" width="16.7890625" customWidth="1"/>
  </cols>
  <sheetData>
    <row r="1" spans="1:21" x14ac:dyDescent="0.55000000000000004">
      <c r="A1" s="122"/>
      <c r="C1" s="10" t="s">
        <v>162</v>
      </c>
    </row>
    <row r="2" spans="1:21" ht="43.5" thickBot="1" x14ac:dyDescent="0.6">
      <c r="A2" s="122" t="s">
        <v>171</v>
      </c>
      <c r="B2" s="7">
        <v>4073.1</v>
      </c>
      <c r="C2" s="295" t="s">
        <v>85</v>
      </c>
      <c r="G2" s="9" t="s">
        <v>428</v>
      </c>
      <c r="I2" s="8"/>
      <c r="O2" s="163" t="s">
        <v>284</v>
      </c>
      <c r="P2" s="10" t="s">
        <v>428</v>
      </c>
      <c r="U2" s="21" t="s">
        <v>353</v>
      </c>
    </row>
    <row r="3" spans="1:21" ht="14.7" thickBot="1" x14ac:dyDescent="0.6">
      <c r="A3" s="122" t="s">
        <v>172</v>
      </c>
      <c r="B3" s="7">
        <v>83799</v>
      </c>
      <c r="C3" s="295"/>
      <c r="F3" s="106" t="s">
        <v>218</v>
      </c>
      <c r="G3" s="113">
        <f>(B12*B10*1000000)-G76</f>
        <v>403807.22457544686</v>
      </c>
      <c r="I3" s="11"/>
      <c r="J3" s="8"/>
      <c r="N3" t="s">
        <v>404</v>
      </c>
      <c r="O3" s="7">
        <f>G3*'Virgin Resins_LCIA'!E8</f>
        <v>625901.1980919427</v>
      </c>
      <c r="T3" t="s">
        <v>404</v>
      </c>
      <c r="U3" s="7">
        <f>G3*'Virgin Resins_LCIA'!F8</f>
        <v>30487445455.446239</v>
      </c>
    </row>
    <row r="4" spans="1:21" ht="14.7" thickBot="1" x14ac:dyDescent="0.6">
      <c r="A4" s="140" t="s">
        <v>173</v>
      </c>
      <c r="B4" s="139">
        <f>B2/B3</f>
        <v>4.8605591952171269E-2</v>
      </c>
      <c r="N4" t="s">
        <v>78</v>
      </c>
      <c r="O4" s="8">
        <f>(G5-G6)*'Semi-mfg._LCIA'!E5</f>
        <v>126274.01454649458</v>
      </c>
      <c r="P4" s="8">
        <f>(G5-G6)</f>
        <v>122596.13062766464</v>
      </c>
      <c r="T4" t="s">
        <v>78</v>
      </c>
      <c r="U4" s="8">
        <f>(G5-G6)*('Semi-mfg._LCIA'!F5*1000)</f>
        <v>3212018622.4448133</v>
      </c>
    </row>
    <row r="5" spans="1:21" ht="14.7" thickBot="1" x14ac:dyDescent="0.6">
      <c r="A5" s="122"/>
      <c r="E5" s="8"/>
      <c r="F5" s="106" t="s">
        <v>78</v>
      </c>
      <c r="G5" s="7">
        <f>(0.3*G3)+G78</f>
        <v>123336.14751274108</v>
      </c>
      <c r="H5" s="157" t="s">
        <v>226</v>
      </c>
      <c r="N5" t="s">
        <v>274</v>
      </c>
      <c r="O5" s="8">
        <f>SUM(O6:O8)</f>
        <v>315196.17102183535</v>
      </c>
      <c r="P5" s="8">
        <f>SUM(P6:P8)</f>
        <v>142414.73196326857</v>
      </c>
      <c r="T5" t="s">
        <v>274</v>
      </c>
      <c r="U5" s="8">
        <f>SUM(U6:U8)</f>
        <v>6935997700.3321791</v>
      </c>
    </row>
    <row r="6" spans="1:21" ht="14.7" thickBot="1" x14ac:dyDescent="0.6">
      <c r="A6" s="122" t="s">
        <v>174</v>
      </c>
      <c r="B6" s="7">
        <v>46989</v>
      </c>
      <c r="C6" s="294" t="s">
        <v>85</v>
      </c>
      <c r="F6" s="112" t="s">
        <v>109</v>
      </c>
      <c r="G6" s="7">
        <f>0.006*G5</f>
        <v>740.01688507644656</v>
      </c>
      <c r="H6" s="158" t="s">
        <v>216</v>
      </c>
      <c r="N6" s="118" t="s">
        <v>80</v>
      </c>
      <c r="O6" s="8">
        <f>(G8-G9)*'Semi-mfg._LCIA'!E9</f>
        <v>14649.286188570091</v>
      </c>
      <c r="P6" s="8">
        <f>(G8-G9)</f>
        <v>35470.426606707246</v>
      </c>
      <c r="T6" s="118" t="s">
        <v>80</v>
      </c>
      <c r="U6" s="8">
        <f>(G8-G9)*('Semi-mfg._LCIA'!F9*1000)</f>
        <v>379533564.69176751</v>
      </c>
    </row>
    <row r="7" spans="1:21" ht="14.7" thickBot="1" x14ac:dyDescent="0.6">
      <c r="A7" s="122" t="s">
        <v>175</v>
      </c>
      <c r="B7" s="7">
        <v>655529</v>
      </c>
      <c r="C7" s="294"/>
      <c r="E7" s="8"/>
      <c r="F7" s="106" t="s">
        <v>79</v>
      </c>
      <c r="G7" s="7">
        <f>G8+G10+G12</f>
        <v>145370.60084716085</v>
      </c>
      <c r="H7" s="106"/>
      <c r="N7" s="118" t="s">
        <v>81</v>
      </c>
      <c r="O7" s="8">
        <f>(G10-G11)*'Semi-mfg._LCIA'!E11</f>
        <v>16764.089232827639</v>
      </c>
      <c r="P7" s="8">
        <f>(G10-G11)</f>
        <v>48311.496348206456</v>
      </c>
      <c r="T7" s="118" t="s">
        <v>81</v>
      </c>
      <c r="U7" s="8">
        <f>(G10-G11)*('Semi-mfg._LCIA'!F11*1000)</f>
        <v>400019189.76314944</v>
      </c>
    </row>
    <row r="8" spans="1:21" ht="14.7" thickBot="1" x14ac:dyDescent="0.6">
      <c r="A8" s="140" t="s">
        <v>84</v>
      </c>
      <c r="B8" s="139">
        <f>B6/B7</f>
        <v>7.168103928277772E-2</v>
      </c>
      <c r="F8" s="112" t="s">
        <v>80</v>
      </c>
      <c r="G8" s="7">
        <f>0.09*G3</f>
        <v>36342.650211790213</v>
      </c>
      <c r="H8" s="157" t="s">
        <v>227</v>
      </c>
      <c r="N8" s="118" t="s">
        <v>219</v>
      </c>
      <c r="O8" s="8">
        <f>(G12-G13)*'Semi-mfg._LCIA'!E14</f>
        <v>283782.79560043762</v>
      </c>
      <c r="P8" s="8">
        <f>(G12-G13)</f>
        <v>58632.809008354881</v>
      </c>
      <c r="T8" s="118" t="s">
        <v>219</v>
      </c>
      <c r="U8" s="8">
        <f>(G12-G13)*('Semi-mfg._LCIA'!F14*1000)</f>
        <v>6156444945.8772621</v>
      </c>
    </row>
    <row r="9" spans="1:21" ht="14.7" thickBot="1" x14ac:dyDescent="0.6">
      <c r="A9" s="122"/>
      <c r="E9" s="8"/>
      <c r="F9" s="112" t="s">
        <v>109</v>
      </c>
      <c r="G9" s="7">
        <f>0.024*G8</f>
        <v>872.22360508296515</v>
      </c>
      <c r="H9" s="118" t="s">
        <v>110</v>
      </c>
      <c r="N9" s="2" t="s">
        <v>220</v>
      </c>
      <c r="O9" s="8">
        <f>(G14-G15)*'Semi-mfg._LCIA'!E4</f>
        <v>10588.152628077343</v>
      </c>
      <c r="P9" s="8">
        <f>(G14-G15)</f>
        <v>10588.152628077343</v>
      </c>
      <c r="T9" s="2" t="s">
        <v>220</v>
      </c>
      <c r="U9" s="8">
        <f>(G14-G15)*('Semi-mfg._LCIA'!F4*1000)</f>
        <v>295409458.32335788</v>
      </c>
    </row>
    <row r="10" spans="1:21" ht="14.7" thickBot="1" x14ac:dyDescent="0.6">
      <c r="A10" s="141" t="s">
        <v>601</v>
      </c>
      <c r="B10" s="142">
        <f>AVERAGE(B4,B8)</f>
        <v>6.0143315617474491E-2</v>
      </c>
      <c r="F10" s="112" t="s">
        <v>81</v>
      </c>
      <c r="G10" s="7">
        <f>0.12*G3</f>
        <v>48456.866949053619</v>
      </c>
      <c r="H10" s="157" t="s">
        <v>228</v>
      </c>
      <c r="N10" s="2" t="s">
        <v>83</v>
      </c>
      <c r="O10" s="8">
        <f>(G16-G17)*'Semi-mfg._LCIA'!N6</f>
        <v>82362.454414989799</v>
      </c>
      <c r="P10" s="8">
        <f>(G16-G17)</f>
        <v>131897.16899197653</v>
      </c>
      <c r="T10" s="2" t="s">
        <v>83</v>
      </c>
      <c r="U10" s="8">
        <f>(G16-G17)*('Semi-mfg._LCIA'!O6*1000)</f>
        <v>2067268295.3342454</v>
      </c>
    </row>
    <row r="11" spans="1:21" ht="14.7" thickBot="1" x14ac:dyDescent="0.6">
      <c r="F11" s="112" t="s">
        <v>109</v>
      </c>
      <c r="G11" s="7">
        <f>0.003*G10</f>
        <v>145.37060084716086</v>
      </c>
      <c r="H11" s="159" t="s">
        <v>111</v>
      </c>
    </row>
    <row r="12" spans="1:21" ht="14.7" thickBot="1" x14ac:dyDescent="0.6">
      <c r="A12" s="106" t="s">
        <v>304</v>
      </c>
      <c r="B12" s="155">
        <v>6.8599999999999994</v>
      </c>
      <c r="C12" t="s">
        <v>161</v>
      </c>
      <c r="F12" s="112" t="s">
        <v>219</v>
      </c>
      <c r="G12" s="7">
        <f>0.15*G3</f>
        <v>60571.083686317026</v>
      </c>
      <c r="H12" s="157" t="s">
        <v>229</v>
      </c>
      <c r="N12" t="s">
        <v>275</v>
      </c>
      <c r="O12" s="8">
        <f>(G20+G59+G65+G73+G24)*EOL_LCIA!D8</f>
        <v>5168.3328947120508</v>
      </c>
      <c r="P12" s="8">
        <f>(G20+G59+G65+G73+G24)</f>
        <v>234924.2224869114</v>
      </c>
      <c r="T12" t="s">
        <v>275</v>
      </c>
      <c r="U12" s="8">
        <f>(G20+G59+G65+G73+G24)*(EOL_LCIA!E8*1000)</f>
        <v>72826508.970942527</v>
      </c>
    </row>
    <row r="13" spans="1:21" ht="14.7" thickBot="1" x14ac:dyDescent="0.6">
      <c r="F13" s="112" t="s">
        <v>109</v>
      </c>
      <c r="G13" s="7">
        <f>0.032*G12</f>
        <v>1938.2746779621448</v>
      </c>
      <c r="H13" s="112" t="s">
        <v>232</v>
      </c>
      <c r="N13" s="122" t="s">
        <v>276</v>
      </c>
      <c r="O13" s="8">
        <f>(G21+G60+G66+G74+G25)*EOL_LCIA!I8</f>
        <v>6825.6982463880659</v>
      </c>
      <c r="P13" s="8">
        <f>(G21+G60+G66+G74+G25)</f>
        <v>4806.8297509775111</v>
      </c>
      <c r="T13" s="122" t="s">
        <v>276</v>
      </c>
      <c r="U13" s="8">
        <f>(G21+G60+G66+G74+G25)*(EOL_LCIA!J8*1000)</f>
        <v>-105029230.05885862</v>
      </c>
    </row>
    <row r="14" spans="1:21" ht="14.7" thickBot="1" x14ac:dyDescent="0.6">
      <c r="E14" s="8"/>
      <c r="F14" s="106" t="s">
        <v>220</v>
      </c>
      <c r="G14" s="7">
        <f>(0.01*G3)+G77</f>
        <v>10620.01266607557</v>
      </c>
      <c r="H14" s="157" t="s">
        <v>230</v>
      </c>
      <c r="N14" t="s">
        <v>277</v>
      </c>
      <c r="O14" s="8">
        <f>G67*EOL_LCIA!E30</f>
        <v>987.27688723188942</v>
      </c>
      <c r="P14" s="8">
        <f>G67</f>
        <v>11092.998732942578</v>
      </c>
      <c r="T14" t="s">
        <v>277</v>
      </c>
      <c r="U14" s="8">
        <f>G67*EOL_LCIA!F30</f>
        <v>14786967.311012458</v>
      </c>
    </row>
    <row r="15" spans="1:21" ht="14.7" thickBot="1" x14ac:dyDescent="0.6">
      <c r="A15" t="s">
        <v>379</v>
      </c>
      <c r="F15" s="112" t="s">
        <v>109</v>
      </c>
      <c r="G15" s="7">
        <f>0.003*G14</f>
        <v>31.860037998226712</v>
      </c>
      <c r="H15" s="159" t="s">
        <v>111</v>
      </c>
      <c r="N15" t="s">
        <v>199</v>
      </c>
      <c r="O15" s="8">
        <f>G23*(EOL_LCIA!I30/2)+(G76*EOL_LCIA!L30)</f>
        <v>3831.4754570501091</v>
      </c>
      <c r="P15" s="8">
        <f>G23+G76</f>
        <v>9325.3123403160298</v>
      </c>
      <c r="T15" t="s">
        <v>199</v>
      </c>
      <c r="U15" s="8">
        <f>G23*(EOL_LCIA!J30/2)+(G76*EOL_LCIA!M30)</f>
        <v>66067470.524705671</v>
      </c>
    </row>
    <row r="16" spans="1:21" ht="14.7" thickBot="1" x14ac:dyDescent="0.6">
      <c r="A16" t="s">
        <v>380</v>
      </c>
      <c r="E16" s="8"/>
      <c r="F16" s="106" t="s">
        <v>83</v>
      </c>
      <c r="G16" s="7">
        <f>0.33*G3</f>
        <v>133256.38410989748</v>
      </c>
      <c r="H16" s="157" t="s">
        <v>231</v>
      </c>
      <c r="N16" t="s">
        <v>379</v>
      </c>
      <c r="O16" s="8">
        <f>(1.05*10^6)*B19</f>
        <v>16153.575096858714</v>
      </c>
      <c r="T16" t="s">
        <v>379</v>
      </c>
      <c r="U16" s="8">
        <f>(14*10^9)*B19</f>
        <v>215381001.29144952</v>
      </c>
    </row>
    <row r="17" spans="1:22" ht="14.7" thickBot="1" x14ac:dyDescent="0.6">
      <c r="A17" t="s">
        <v>381</v>
      </c>
      <c r="B17" s="7">
        <f>(3161000*0.907185)+269800</f>
        <v>3137411.7850000001</v>
      </c>
      <c r="C17" t="s">
        <v>103</v>
      </c>
      <c r="D17" s="3" t="s">
        <v>85</v>
      </c>
      <c r="F17" s="112" t="s">
        <v>109</v>
      </c>
      <c r="G17" s="7">
        <f>0.0102*G16</f>
        <v>1359.2151179209543</v>
      </c>
      <c r="H17" s="156" t="s">
        <v>233</v>
      </c>
      <c r="N17" s="291" t="s">
        <v>261</v>
      </c>
      <c r="O17" s="8">
        <f>O4+O5+O9+O10+O12+O13+O14+O15+O16</f>
        <v>567387.15119363798</v>
      </c>
      <c r="P17" t="s">
        <v>348</v>
      </c>
      <c r="T17" s="291" t="s">
        <v>261</v>
      </c>
      <c r="U17" s="8">
        <f>U4+U5+U9+U10+U12+U13+U14+U15+U16</f>
        <v>12774726794.473848</v>
      </c>
      <c r="V17" t="s">
        <v>354</v>
      </c>
    </row>
    <row r="18" spans="1:22" x14ac:dyDescent="0.55000000000000004">
      <c r="A18" t="s">
        <v>382</v>
      </c>
      <c r="B18" s="7">
        <f>(224.8*0.907185*10^6)</f>
        <v>203935188</v>
      </c>
      <c r="C18" t="s">
        <v>103</v>
      </c>
      <c r="D18" s="3" t="s">
        <v>85</v>
      </c>
      <c r="N18" s="291"/>
      <c r="O18" s="11">
        <f>O17/10^6</f>
        <v>0.56738715119363803</v>
      </c>
      <c r="P18" t="s">
        <v>287</v>
      </c>
      <c r="T18" s="291"/>
      <c r="U18" s="11">
        <f>U17/10^9</f>
        <v>12.774726794473848</v>
      </c>
      <c r="V18" t="s">
        <v>356</v>
      </c>
    </row>
    <row r="19" spans="1:22" x14ac:dyDescent="0.55000000000000004">
      <c r="A19" t="s">
        <v>383</v>
      </c>
      <c r="B19" s="190">
        <f>B17/B18</f>
        <v>1.5384357235103537E-2</v>
      </c>
      <c r="E19" s="8"/>
      <c r="F19" t="s">
        <v>115</v>
      </c>
      <c r="G19" s="8">
        <f>G6+G9+G11+G13+G15+G17</f>
        <v>5086.9609248878987</v>
      </c>
      <c r="N19" s="1" t="s">
        <v>575</v>
      </c>
      <c r="O19" s="8">
        <f>O3-PP_MFA!O3</f>
        <v>-13602.676868663519</v>
      </c>
      <c r="P19" t="s">
        <v>348</v>
      </c>
      <c r="T19" s="1" t="s">
        <v>576</v>
      </c>
      <c r="U19" s="11">
        <f>U3-PP_MFA!U3</f>
        <v>-662582002.31232071</v>
      </c>
      <c r="V19" t="s">
        <v>354</v>
      </c>
    </row>
    <row r="20" spans="1:22" x14ac:dyDescent="0.55000000000000004">
      <c r="F20" s="118" t="s">
        <v>120</v>
      </c>
      <c r="G20" s="7">
        <f>(0.86*G19)</f>
        <v>4374.7863954035929</v>
      </c>
      <c r="H20" s="110" t="s">
        <v>573</v>
      </c>
      <c r="N20" s="1" t="s">
        <v>566</v>
      </c>
      <c r="O20" s="11">
        <f>(O17+O19)/10^6</f>
        <v>0.55378447432497446</v>
      </c>
      <c r="P20" t="s">
        <v>287</v>
      </c>
      <c r="T20" s="1" t="s">
        <v>566</v>
      </c>
      <c r="U20" s="11">
        <f>(U19+U17)/10^9</f>
        <v>12.112144792161528</v>
      </c>
      <c r="V20" t="s">
        <v>356</v>
      </c>
    </row>
    <row r="21" spans="1:22" x14ac:dyDescent="0.55000000000000004">
      <c r="F21" s="118" t="s">
        <v>121</v>
      </c>
      <c r="G21" s="7">
        <f>(0.02*G19)</f>
        <v>101.73921849775797</v>
      </c>
      <c r="H21" s="110" t="s">
        <v>573</v>
      </c>
    </row>
    <row r="22" spans="1:22" x14ac:dyDescent="0.55000000000000004">
      <c r="F22" s="118" t="s">
        <v>346</v>
      </c>
      <c r="G22" s="8">
        <f>0.12*G19</f>
        <v>610.43531098654785</v>
      </c>
      <c r="H22" s="110" t="s">
        <v>573</v>
      </c>
      <c r="N22" t="s">
        <v>377</v>
      </c>
      <c r="O22">
        <v>23.3</v>
      </c>
      <c r="P22" t="s">
        <v>287</v>
      </c>
      <c r="T22" t="s">
        <v>355</v>
      </c>
      <c r="U22">
        <v>3039</v>
      </c>
      <c r="V22" t="s">
        <v>356</v>
      </c>
    </row>
    <row r="23" spans="1:22" ht="129.6" x14ac:dyDescent="0.55000000000000004">
      <c r="F23" s="118" t="s">
        <v>370</v>
      </c>
      <c r="G23" s="8">
        <f>0.9*G22</f>
        <v>549.39177988789311</v>
      </c>
      <c r="H23" s="270" t="s">
        <v>478</v>
      </c>
      <c r="N23" t="s">
        <v>350</v>
      </c>
      <c r="O23">
        <v>190.89</v>
      </c>
      <c r="P23" t="s">
        <v>287</v>
      </c>
      <c r="T23" t="s">
        <v>357</v>
      </c>
      <c r="U23" s="116">
        <v>744.02538730000003</v>
      </c>
      <c r="V23" t="s">
        <v>356</v>
      </c>
    </row>
    <row r="24" spans="1:22" x14ac:dyDescent="0.55000000000000004">
      <c r="F24" s="118" t="s">
        <v>120</v>
      </c>
      <c r="G24" s="8">
        <f>(0.98*0.1*G22)</f>
        <v>59.822660476681691</v>
      </c>
      <c r="H24" t="s">
        <v>293</v>
      </c>
    </row>
    <row r="25" spans="1:22" x14ac:dyDescent="0.55000000000000004">
      <c r="F25" s="118" t="s">
        <v>121</v>
      </c>
      <c r="G25" s="8">
        <f>(0.02*0.1*G22)</f>
        <v>1.2208706219730958</v>
      </c>
      <c r="H25" t="s">
        <v>293</v>
      </c>
      <c r="T25" t="s">
        <v>378</v>
      </c>
      <c r="U25">
        <v>763.6</v>
      </c>
      <c r="V25" t="s">
        <v>356</v>
      </c>
    </row>
    <row r="26" spans="1:22" x14ac:dyDescent="0.55000000000000004">
      <c r="F26" t="s">
        <v>272</v>
      </c>
      <c r="G26" s="7">
        <f>'Trade Data'!F61/1000</f>
        <v>4377.7545</v>
      </c>
      <c r="N26" t="s">
        <v>371</v>
      </c>
      <c r="O26" s="164">
        <f>O20/O22</f>
        <v>2.3767574005363709E-2</v>
      </c>
    </row>
    <row r="27" spans="1:22" x14ac:dyDescent="0.55000000000000004">
      <c r="F27" t="s">
        <v>273</v>
      </c>
      <c r="G27" s="7">
        <f>'Trade Data'!D61/1000</f>
        <v>932.95118000000002</v>
      </c>
      <c r="N27" t="s">
        <v>392</v>
      </c>
      <c r="O27" s="164">
        <f>O20/O23</f>
        <v>2.901065924485172E-3</v>
      </c>
    </row>
    <row r="28" spans="1:22" ht="28.8" x14ac:dyDescent="0.55000000000000004">
      <c r="F28" t="s">
        <v>185</v>
      </c>
      <c r="G28" s="8">
        <f>G26-G27</f>
        <v>3444.80332</v>
      </c>
      <c r="H28" t="s">
        <v>186</v>
      </c>
      <c r="T28" s="152" t="s">
        <v>371</v>
      </c>
      <c r="U28" s="164">
        <f>U20/U25</f>
        <v>1.5861897318179056E-2</v>
      </c>
    </row>
    <row r="29" spans="1:22" ht="28.8" x14ac:dyDescent="0.55000000000000004">
      <c r="F29" t="s">
        <v>187</v>
      </c>
      <c r="G29" s="8">
        <f>G5+G7+G14+G16-G19+G26</f>
        <v>411873.93871098704</v>
      </c>
      <c r="T29" s="152" t="s">
        <v>390</v>
      </c>
      <c r="U29" s="164">
        <f>U20/U22</f>
        <v>3.9855691978155734E-3</v>
      </c>
    </row>
    <row r="30" spans="1:22" ht="28.8" x14ac:dyDescent="0.55000000000000004">
      <c r="F30" s="152" t="s">
        <v>188</v>
      </c>
      <c r="G30" s="8">
        <f>G27+G58</f>
        <v>245025.45286572448</v>
      </c>
      <c r="T30" s="152" t="s">
        <v>391</v>
      </c>
      <c r="U30" s="164">
        <f>U20/U23</f>
        <v>1.6279209014782938E-2</v>
      </c>
    </row>
    <row r="31" spans="1:22" x14ac:dyDescent="0.55000000000000004">
      <c r="F31" t="s">
        <v>192</v>
      </c>
      <c r="G31" s="8">
        <f>G29-G30</f>
        <v>166848.48584526256</v>
      </c>
    </row>
    <row r="32" spans="1:22" x14ac:dyDescent="0.55000000000000004">
      <c r="F32" s="8"/>
      <c r="G32" s="8"/>
    </row>
    <row r="33" spans="5:8" x14ac:dyDescent="0.55000000000000004">
      <c r="E33" s="13"/>
      <c r="F33" s="292" t="s">
        <v>87</v>
      </c>
      <c r="G33" s="292"/>
      <c r="H33" s="292"/>
    </row>
    <row r="34" spans="5:8" x14ac:dyDescent="0.55000000000000004">
      <c r="F34" s="10" t="s">
        <v>97</v>
      </c>
      <c r="G34" s="8"/>
    </row>
    <row r="35" spans="5:8" x14ac:dyDescent="0.55000000000000004">
      <c r="F35" t="s">
        <v>131</v>
      </c>
      <c r="G35" s="7">
        <f>'NextCycle Scenario'!L15</f>
        <v>13224.942930000005</v>
      </c>
      <c r="H35" t="s">
        <v>88</v>
      </c>
    </row>
    <row r="36" spans="5:8" x14ac:dyDescent="0.55000000000000004">
      <c r="E36" s="8"/>
      <c r="F36" t="s">
        <v>133</v>
      </c>
      <c r="G36" s="7">
        <f>'NextCycle Scenario'!I15</f>
        <v>12700.59</v>
      </c>
      <c r="H36" t="s">
        <v>88</v>
      </c>
    </row>
    <row r="37" spans="5:8" x14ac:dyDescent="0.55000000000000004">
      <c r="F37" t="s">
        <v>132</v>
      </c>
      <c r="G37" s="7">
        <f>(G35/0.98)*0.02</f>
        <v>269.89679448979604</v>
      </c>
      <c r="H37" t="s">
        <v>293</v>
      </c>
    </row>
    <row r="38" spans="5:8" x14ac:dyDescent="0.55000000000000004">
      <c r="F38" t="s">
        <v>300</v>
      </c>
      <c r="G38" s="7">
        <f>G35+G36+G37</f>
        <v>26195.429724489801</v>
      </c>
    </row>
    <row r="39" spans="5:8" x14ac:dyDescent="0.55000000000000004">
      <c r="E39" s="8"/>
      <c r="F39" t="s">
        <v>295</v>
      </c>
      <c r="G39" s="7">
        <f>'U.S. Post-consumer Waste Mgmt'!E53*'U.S. Post-consumer Waste Mgmt'!P19*1000</f>
        <v>27857.726921626207</v>
      </c>
      <c r="H39" t="s">
        <v>101</v>
      </c>
    </row>
    <row r="40" spans="5:8" x14ac:dyDescent="0.55000000000000004">
      <c r="F40" s="118" t="s">
        <v>296</v>
      </c>
      <c r="G40" s="7">
        <f>'U.S. Post-consumer Waste Mgmt'!F53*'U.S. Post-consumer Waste Mgmt'!P19*1000</f>
        <v>827.4572352958279</v>
      </c>
      <c r="H40" t="s">
        <v>101</v>
      </c>
    </row>
    <row r="41" spans="5:8" x14ac:dyDescent="0.55000000000000004">
      <c r="F41" s="118" t="s">
        <v>297</v>
      </c>
      <c r="G41" s="7">
        <f>(G39-G40)*0.98</f>
        <v>26489.664292603771</v>
      </c>
      <c r="H41" t="s">
        <v>293</v>
      </c>
    </row>
    <row r="42" spans="5:8" x14ac:dyDescent="0.55000000000000004">
      <c r="E42" s="13"/>
      <c r="F42" s="118" t="s">
        <v>298</v>
      </c>
      <c r="G42" s="7">
        <f>(G39-G40)*0.02</f>
        <v>540.60539372660764</v>
      </c>
      <c r="H42" t="s">
        <v>293</v>
      </c>
    </row>
    <row r="43" spans="5:8" x14ac:dyDescent="0.55000000000000004">
      <c r="F43" t="s">
        <v>134</v>
      </c>
      <c r="G43" s="7">
        <f>'U.S. Post-consumer Waste Mgmt'!E52*'U.S. Post-consumer Waste Mgmt'!P19*1000</f>
        <v>15721.687470620731</v>
      </c>
      <c r="H43" t="s">
        <v>101</v>
      </c>
    </row>
    <row r="44" spans="5:8" x14ac:dyDescent="0.55000000000000004">
      <c r="F44" s="118" t="s">
        <v>21</v>
      </c>
      <c r="G44" s="8">
        <f>0.98*G43</f>
        <v>15407.253721208315</v>
      </c>
      <c r="H44" t="s">
        <v>293</v>
      </c>
    </row>
    <row r="45" spans="5:8" x14ac:dyDescent="0.55000000000000004">
      <c r="F45" s="118" t="s">
        <v>121</v>
      </c>
      <c r="G45" s="8">
        <f>0.02*G43</f>
        <v>314.43374941241461</v>
      </c>
      <c r="H45" t="s">
        <v>293</v>
      </c>
    </row>
    <row r="46" spans="5:8" x14ac:dyDescent="0.55000000000000004">
      <c r="F46" s="10" t="s">
        <v>135</v>
      </c>
      <c r="G46" s="12">
        <f>G47+G48+G49</f>
        <v>69774.844116736742</v>
      </c>
    </row>
    <row r="47" spans="5:8" x14ac:dyDescent="0.55000000000000004">
      <c r="F47" s="118" t="s">
        <v>242</v>
      </c>
      <c r="G47" s="8">
        <f>G35+G41+G44</f>
        <v>55121.860943812091</v>
      </c>
    </row>
    <row r="48" spans="5:8" x14ac:dyDescent="0.55000000000000004">
      <c r="F48" s="118" t="s">
        <v>243</v>
      </c>
      <c r="G48" s="8">
        <f>G37+G42+G45</f>
        <v>1124.9359376288185</v>
      </c>
    </row>
    <row r="49" spans="4:8" x14ac:dyDescent="0.55000000000000004">
      <c r="F49" s="118" t="s">
        <v>244</v>
      </c>
      <c r="G49" s="8">
        <f>G36+G40</f>
        <v>13528.047235295828</v>
      </c>
    </row>
    <row r="51" spans="4:8" x14ac:dyDescent="0.55000000000000004">
      <c r="E51" s="8"/>
      <c r="F51" s="10" t="s">
        <v>136</v>
      </c>
      <c r="G51" s="154">
        <f>'U.S. Post-consumer Waste Mgmt'!F20*'U.S. Post-consumer Waste Mgmt'!P19*1000</f>
        <v>47716.700568726075</v>
      </c>
      <c r="H51" t="s">
        <v>101</v>
      </c>
    </row>
    <row r="52" spans="4:8" x14ac:dyDescent="0.55000000000000004">
      <c r="F52" s="118" t="s">
        <v>120</v>
      </c>
      <c r="G52" s="8">
        <f>0.98*G51</f>
        <v>46762.366557351554</v>
      </c>
      <c r="H52" t="s">
        <v>293</v>
      </c>
    </row>
    <row r="53" spans="4:8" x14ac:dyDescent="0.55000000000000004">
      <c r="F53" s="118" t="s">
        <v>121</v>
      </c>
      <c r="G53" s="8">
        <f>0.02*G51</f>
        <v>954.33401137452154</v>
      </c>
      <c r="H53" t="s">
        <v>293</v>
      </c>
    </row>
    <row r="54" spans="4:8" x14ac:dyDescent="0.55000000000000004">
      <c r="F54" s="10" t="s">
        <v>137</v>
      </c>
      <c r="G54" s="154">
        <f>'U.S. Post-consumer Waste Mgmt'!F25*'U.S. Post-consumer Waste Mgmt'!P19*1000</f>
        <v>126600.95700026167</v>
      </c>
      <c r="H54" t="s">
        <v>101</v>
      </c>
    </row>
    <row r="55" spans="4:8" x14ac:dyDescent="0.55000000000000004">
      <c r="D55" s="13"/>
      <c r="E55" s="8"/>
      <c r="F55" t="s">
        <v>120</v>
      </c>
      <c r="G55" s="8">
        <f>0.98*G54</f>
        <v>124068.93786025642</v>
      </c>
      <c r="H55" t="s">
        <v>293</v>
      </c>
    </row>
    <row r="56" spans="4:8" x14ac:dyDescent="0.55000000000000004">
      <c r="F56" t="s">
        <v>121</v>
      </c>
      <c r="G56" s="8">
        <f>0.02*G54</f>
        <v>2532.0191400052336</v>
      </c>
      <c r="H56" t="s">
        <v>293</v>
      </c>
    </row>
    <row r="58" spans="4:8" x14ac:dyDescent="0.55000000000000004">
      <c r="F58" s="10" t="s">
        <v>138</v>
      </c>
      <c r="G58" s="12">
        <f>G46+G51+G54</f>
        <v>244092.50168572448</v>
      </c>
    </row>
    <row r="59" spans="4:8" x14ac:dyDescent="0.55000000000000004">
      <c r="F59" s="2" t="s">
        <v>255</v>
      </c>
      <c r="G59" s="8">
        <f>G47+G52+G55</f>
        <v>225953.16536142008</v>
      </c>
    </row>
    <row r="60" spans="4:8" x14ac:dyDescent="0.55000000000000004">
      <c r="F60" t="s">
        <v>256</v>
      </c>
      <c r="G60" s="8">
        <f>G48+G53+G56</f>
        <v>4611.2890890085737</v>
      </c>
    </row>
    <row r="61" spans="4:8" x14ac:dyDescent="0.55000000000000004">
      <c r="F61" t="s">
        <v>299</v>
      </c>
      <c r="G61" s="8">
        <f>G49</f>
        <v>13528.047235295828</v>
      </c>
    </row>
    <row r="62" spans="4:8" x14ac:dyDescent="0.55000000000000004">
      <c r="F62" s="292" t="s">
        <v>198</v>
      </c>
      <c r="G62" s="292"/>
      <c r="H62" s="292"/>
    </row>
    <row r="63" spans="4:8" x14ac:dyDescent="0.55000000000000004">
      <c r="F63" t="s">
        <v>107</v>
      </c>
      <c r="G63" s="8">
        <f>G49</f>
        <v>13528.047235295828</v>
      </c>
    </row>
    <row r="64" spans="4:8" x14ac:dyDescent="0.55000000000000004">
      <c r="F64" s="14" t="s">
        <v>104</v>
      </c>
      <c r="G64" s="8">
        <f>G63*0.18</f>
        <v>2435.0485023532488</v>
      </c>
      <c r="H64" s="114">
        <v>0.18</v>
      </c>
    </row>
    <row r="65" spans="6:8" x14ac:dyDescent="0.55000000000000004">
      <c r="F65" s="118" t="s">
        <v>105</v>
      </c>
      <c r="G65" s="8">
        <f>0.98*G64</f>
        <v>2386.3475323061839</v>
      </c>
      <c r="H65" t="s">
        <v>293</v>
      </c>
    </row>
    <row r="66" spans="6:8" x14ac:dyDescent="0.55000000000000004">
      <c r="F66" s="118" t="s">
        <v>106</v>
      </c>
      <c r="G66" s="116">
        <f>0.02*G64</f>
        <v>48.700970047064978</v>
      </c>
      <c r="H66" t="s">
        <v>293</v>
      </c>
    </row>
    <row r="67" spans="6:8" x14ac:dyDescent="0.55000000000000004">
      <c r="F67" t="s">
        <v>108</v>
      </c>
      <c r="G67" s="8">
        <f>G63-G64</f>
        <v>11092.998732942578</v>
      </c>
    </row>
    <row r="68" spans="6:8" x14ac:dyDescent="0.55000000000000004">
      <c r="F68" t="s">
        <v>266</v>
      </c>
      <c r="G68">
        <v>0</v>
      </c>
    </row>
    <row r="69" spans="6:8" x14ac:dyDescent="0.55000000000000004">
      <c r="F69" t="s">
        <v>267</v>
      </c>
      <c r="G69" s="8">
        <f>PET_MFA!B53*PET_MFA!B51</f>
        <v>123.09803240740742</v>
      </c>
    </row>
    <row r="70" spans="6:8" x14ac:dyDescent="0.55000000000000004">
      <c r="F70" s="292" t="s">
        <v>358</v>
      </c>
      <c r="G70" s="292"/>
      <c r="H70" s="292"/>
    </row>
    <row r="71" spans="6:8" x14ac:dyDescent="0.55000000000000004">
      <c r="F71" t="s">
        <v>481</v>
      </c>
      <c r="G71" s="8">
        <f>G67-G69</f>
        <v>10969.90070053517</v>
      </c>
    </row>
    <row r="72" spans="6:8" x14ac:dyDescent="0.55000000000000004">
      <c r="F72" t="s">
        <v>394</v>
      </c>
      <c r="G72" s="8">
        <f>0.2*G71</f>
        <v>2193.980140107034</v>
      </c>
    </row>
    <row r="73" spans="6:8" x14ac:dyDescent="0.55000000000000004">
      <c r="F73" s="118" t="s">
        <v>21</v>
      </c>
      <c r="G73" s="8">
        <f>0.98*G72</f>
        <v>2150.1005373048934</v>
      </c>
      <c r="H73" t="s">
        <v>293</v>
      </c>
    </row>
    <row r="74" spans="6:8" x14ac:dyDescent="0.55000000000000004">
      <c r="F74" s="118" t="s">
        <v>22</v>
      </c>
      <c r="G74" s="8">
        <f>0.02*G72</f>
        <v>43.879602802140681</v>
      </c>
      <c r="H74" t="s">
        <v>293</v>
      </c>
    </row>
    <row r="76" spans="6:8" x14ac:dyDescent="0.55000000000000004">
      <c r="F76" t="s">
        <v>483</v>
      </c>
      <c r="G76" s="8">
        <f>G71-G72</f>
        <v>8775.920560428136</v>
      </c>
    </row>
    <row r="77" spans="6:8" x14ac:dyDescent="0.55000000000000004">
      <c r="G77" s="8">
        <f>0.75*G76</f>
        <v>6581.9404203211016</v>
      </c>
      <c r="H77" t="s">
        <v>494</v>
      </c>
    </row>
    <row r="78" spans="6:8" x14ac:dyDescent="0.55000000000000004">
      <c r="G78" s="8">
        <f>0.25*G76</f>
        <v>2193.980140107034</v>
      </c>
      <c r="H78" t="s">
        <v>495</v>
      </c>
    </row>
    <row r="79" spans="6:8" x14ac:dyDescent="0.55000000000000004">
      <c r="G79" s="8"/>
    </row>
  </sheetData>
  <mergeCells count="7">
    <mergeCell ref="T17:T18"/>
    <mergeCell ref="F33:H33"/>
    <mergeCell ref="F62:H62"/>
    <mergeCell ref="F70:H70"/>
    <mergeCell ref="C2:C3"/>
    <mergeCell ref="C6:C7"/>
    <mergeCell ref="N17:N18"/>
  </mergeCells>
  <hyperlinks>
    <hyperlink ref="C2" r:id="rId1" location="eyJhcHBpZCI6OTksInN0ZXBzIjpbMSwyNCwyOSwyNSwyNiwyNyw0MF0sImRhdGEiOltbIlRhYmxlSWQiLCI1MDUiXSxbIkNsYXNzaWZpY2F0aW9uIiwiTkFJQ1MiXSxbIlJlYWxfVGFibGVfSWQiLCI1MDUiXSxbIk1ham9yQXJlYUtleSIsIjAiXSxbIkxpbmUiLCIzMyJdLFsiU3RhdGUiLCIwIl0sWyJVbml0X29mX01lYXN1cmUiLCJMZXZlbHMiXSxbIk1hcENvbG9yIiwiQkVBU3RhbmRhcmQiXSxbIm5SYW5nZSIsIjUiXSxbIlllYXIiLCIyMDE5Il0sWyJZZWFyQmVnaW4iLCItMSJdLFsiWWVhckVuZCIsIi0xIl1dfQ==" xr:uid="{6DF10BA8-EDFB-45C1-8B02-D7C133BF7ABD}"/>
    <hyperlink ref="D17" r:id="rId2" xr:uid="{AE5DF867-3DCC-43E1-A8D6-60346B02CE4A}"/>
    <hyperlink ref="D18" r:id="rId3" xr:uid="{8BB6BD40-4AE4-433F-BF55-D365E6442295}"/>
    <hyperlink ref="C6:C7" r:id="rId4" display="Source" xr:uid="{D2E179A0-64AA-4DCC-9765-C14D8A3738A1}"/>
  </hyperlinks>
  <pageMargins left="0.7" right="0.7" top="0.75" bottom="0.75" header="0.3" footer="0.3"/>
  <pageSetup orientation="portrait" r:id="rId5"/>
  <legacy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D82CB-4933-451E-8787-718BE1D56BB4}">
  <dimension ref="A2:Z80"/>
  <sheetViews>
    <sheetView zoomScale="80" zoomScaleNormal="80" workbookViewId="0">
      <selection activeCell="E29" sqref="E29"/>
    </sheetView>
  </sheetViews>
  <sheetFormatPr defaultRowHeight="14.4" x14ac:dyDescent="0.55000000000000004"/>
  <cols>
    <col min="1" max="1" width="18.7890625" bestFit="1" customWidth="1"/>
    <col min="2" max="2" width="9.68359375" bestFit="1" customWidth="1"/>
    <col min="3" max="3" width="6.41796875" customWidth="1"/>
    <col min="4" max="4" width="16.89453125" bestFit="1" customWidth="1"/>
    <col min="5" max="5" width="11.20703125" customWidth="1"/>
    <col min="6" max="6" width="12.1015625" customWidth="1"/>
    <col min="7" max="7" width="10.41796875" customWidth="1"/>
    <col min="8" max="8" width="13.89453125" customWidth="1"/>
    <col min="9" max="9" width="15.7890625" customWidth="1"/>
    <col min="10" max="10" width="12" bestFit="1" customWidth="1"/>
    <col min="11" max="11" width="11.3125" bestFit="1" customWidth="1"/>
    <col min="12" max="12" width="14.68359375" customWidth="1"/>
    <col min="13" max="13" width="17.3125" customWidth="1"/>
    <col min="14" max="14" width="10.1015625" customWidth="1"/>
    <col min="15" max="15" width="12.68359375" customWidth="1"/>
    <col min="16" max="16" width="11.20703125" bestFit="1" customWidth="1"/>
    <col min="17" max="17" width="18.41796875" bestFit="1" customWidth="1"/>
    <col min="18" max="18" width="9.7890625" bestFit="1" customWidth="1"/>
    <col min="19" max="19" width="20.89453125" bestFit="1" customWidth="1"/>
    <col min="21" max="21" width="20.20703125" bestFit="1" customWidth="1"/>
  </cols>
  <sheetData>
    <row r="2" spans="1:20" x14ac:dyDescent="0.55000000000000004">
      <c r="A2" t="s">
        <v>586</v>
      </c>
      <c r="B2" s="254">
        <v>0.90718500000000002</v>
      </c>
      <c r="C2" t="s">
        <v>103</v>
      </c>
    </row>
    <row r="4" spans="1:20" x14ac:dyDescent="0.55000000000000004">
      <c r="K4" s="8"/>
      <c r="L4" s="11"/>
    </row>
    <row r="5" spans="1:20" ht="26.4" customHeight="1" x14ac:dyDescent="0.55000000000000004">
      <c r="E5" s="291"/>
      <c r="F5" s="291"/>
      <c r="H5" s="281"/>
      <c r="I5" s="281"/>
      <c r="J5" s="281"/>
      <c r="L5" s="13"/>
      <c r="M5" s="190"/>
    </row>
    <row r="6" spans="1:20" ht="43.2" x14ac:dyDescent="0.55000000000000004">
      <c r="E6" s="160" t="s">
        <v>289</v>
      </c>
      <c r="F6" s="160" t="s">
        <v>292</v>
      </c>
      <c r="G6" t="s">
        <v>291</v>
      </c>
      <c r="H6" s="160" t="s">
        <v>290</v>
      </c>
      <c r="I6" s="160" t="s">
        <v>621</v>
      </c>
      <c r="J6" s="160" t="s">
        <v>291</v>
      </c>
      <c r="L6" s="160" t="s">
        <v>439</v>
      </c>
      <c r="M6" s="160" t="s">
        <v>440</v>
      </c>
      <c r="O6" s="160" t="s">
        <v>620</v>
      </c>
    </row>
    <row r="7" spans="1:20" x14ac:dyDescent="0.55000000000000004">
      <c r="D7" t="s">
        <v>262</v>
      </c>
      <c r="E7" s="7">
        <f>PET_MFA!I33</f>
        <v>111792.96296938775</v>
      </c>
      <c r="F7" s="7">
        <f>PET_MFA!I29</f>
        <v>58241.277000000002</v>
      </c>
      <c r="G7" s="13">
        <f>F7/E7</f>
        <v>0.52097444645015989</v>
      </c>
      <c r="H7" s="7">
        <f>33700*B2</f>
        <v>30572.1345</v>
      </c>
      <c r="I7" s="8">
        <f>H7+F7</f>
        <v>88813.411500000002</v>
      </c>
      <c r="J7" s="13">
        <f>I7/E7</f>
        <v>0.79444545650265808</v>
      </c>
      <c r="K7" s="192"/>
      <c r="L7" s="7">
        <f>(E7-I7)*0.98</f>
        <v>22519.960439999992</v>
      </c>
      <c r="M7" s="8">
        <f>(E7-I7)*0.02</f>
        <v>459.59102938775499</v>
      </c>
      <c r="N7" s="13"/>
      <c r="O7" s="8">
        <f>I7+L7+M7</f>
        <v>111792.96296938775</v>
      </c>
      <c r="P7" s="8"/>
      <c r="Q7" s="13"/>
      <c r="R7" s="8"/>
      <c r="T7" s="13"/>
    </row>
    <row r="8" spans="1:20" x14ac:dyDescent="0.55000000000000004">
      <c r="C8" s="8"/>
      <c r="D8" s="152"/>
    </row>
    <row r="10" spans="1:20" x14ac:dyDescent="0.55000000000000004">
      <c r="D10" t="s">
        <v>208</v>
      </c>
      <c r="E10" s="7">
        <f>HDPE_MFA!F52</f>
        <v>16016.443744897959</v>
      </c>
      <c r="F10" s="7">
        <f>HDPE_MFA!F46</f>
        <v>7574.9947499999998</v>
      </c>
      <c r="G10" s="13">
        <f>F10/E10</f>
        <v>0.47295110391862211</v>
      </c>
      <c r="H10" s="7">
        <f>4400*B2</f>
        <v>3991.614</v>
      </c>
      <c r="I10" s="8">
        <f>H10+F10</f>
        <v>11566.608749999999</v>
      </c>
      <c r="J10" s="13">
        <f>I10/E10</f>
        <v>0.7221708473008901</v>
      </c>
      <c r="K10" s="192"/>
      <c r="L10" s="7">
        <f>(E10-I10)*0.98</f>
        <v>4360.8382950000005</v>
      </c>
      <c r="M10" s="8">
        <f>(E10-I10)*0.02</f>
        <v>88.996699897959189</v>
      </c>
      <c r="N10" s="13"/>
      <c r="O10" s="8">
        <f>I10+L10+M10</f>
        <v>16016.443744897961</v>
      </c>
      <c r="P10" s="8"/>
      <c r="Q10" s="13"/>
      <c r="R10" s="8"/>
      <c r="T10" s="13"/>
    </row>
    <row r="11" spans="1:20" x14ac:dyDescent="0.55000000000000004">
      <c r="D11" t="s">
        <v>209</v>
      </c>
      <c r="E11" s="7">
        <f>HDPE_MFA!F53</f>
        <v>96227.056917857146</v>
      </c>
      <c r="F11" s="7">
        <f>HDPE_MFA!F47</f>
        <v>46416.120524999998</v>
      </c>
      <c r="G11" s="13">
        <f>F11/E11</f>
        <v>0.48236038814553434</v>
      </c>
      <c r="H11" s="7">
        <f>27000*B2</f>
        <v>24493.994999999999</v>
      </c>
      <c r="I11" s="8">
        <f>H11+F11</f>
        <v>70910.115525000001</v>
      </c>
      <c r="J11" s="13">
        <f>I11/E11</f>
        <v>0.7369041285917266</v>
      </c>
      <c r="K11" s="192"/>
      <c r="L11" s="7">
        <f>(E11-I11)*0.98</f>
        <v>24810.602565000001</v>
      </c>
      <c r="M11" s="8">
        <f>(E11-I11)*0.02</f>
        <v>506.33882785714292</v>
      </c>
      <c r="N11" s="13"/>
      <c r="O11" s="8">
        <f>I11+L11+M11</f>
        <v>96227.056917857146</v>
      </c>
      <c r="P11" s="8"/>
      <c r="Q11" s="13"/>
      <c r="R11" s="8"/>
      <c r="T11" s="13"/>
    </row>
    <row r="12" spans="1:20" x14ac:dyDescent="0.55000000000000004">
      <c r="I12" s="8"/>
      <c r="L12" s="7"/>
      <c r="M12" s="8"/>
    </row>
    <row r="13" spans="1:20" x14ac:dyDescent="0.55000000000000004">
      <c r="C13" s="8"/>
      <c r="D13" t="s">
        <v>288</v>
      </c>
      <c r="E13" s="7">
        <f>LDPE_LLDPE_MFA!F33</f>
        <v>402031.06683673471</v>
      </c>
      <c r="F13" s="7">
        <f>LDPE_LLDPE_MFA!F44</f>
        <v>22679.625</v>
      </c>
      <c r="G13" s="13">
        <f>F13/E13</f>
        <v>5.6412618005986646E-2</v>
      </c>
      <c r="H13" s="7">
        <f>195800*B2</f>
        <v>177626.823</v>
      </c>
      <c r="I13" s="8">
        <f>H13+F13</f>
        <v>200306.448</v>
      </c>
      <c r="J13" s="13">
        <f>I13/E13</f>
        <v>0.49823624222887403</v>
      </c>
      <c r="K13" s="192"/>
      <c r="L13" s="7">
        <f>(E13-I13)*0.98</f>
        <v>197690.12646</v>
      </c>
      <c r="M13" s="8">
        <f>(E13-I13)*0.02</f>
        <v>4034.4923767346941</v>
      </c>
      <c r="N13" s="13"/>
      <c r="O13" s="8">
        <f>I13+L13+M13</f>
        <v>402031.06683673471</v>
      </c>
      <c r="P13" s="8"/>
      <c r="Q13" s="13"/>
      <c r="R13" s="8"/>
      <c r="T13" s="13"/>
    </row>
    <row r="14" spans="1:20" x14ac:dyDescent="0.55000000000000004">
      <c r="C14" s="8"/>
      <c r="T14" s="13"/>
    </row>
    <row r="15" spans="1:20" x14ac:dyDescent="0.55000000000000004">
      <c r="D15" t="s">
        <v>393</v>
      </c>
      <c r="E15" s="7">
        <f>PP_MFA!G38</f>
        <v>26195.429724489801</v>
      </c>
      <c r="F15" s="7">
        <f>PP_MFA!G36</f>
        <v>4626.6435000000001</v>
      </c>
      <c r="G15" s="13">
        <f>F15/E15</f>
        <v>0.17662025584846983</v>
      </c>
      <c r="H15" s="7">
        <f>8900*B2</f>
        <v>8073.9465</v>
      </c>
      <c r="I15" s="8">
        <f>H15+F15</f>
        <v>12700.59</v>
      </c>
      <c r="J15" s="13">
        <f>I15/E15</f>
        <v>0.48483991801540738</v>
      </c>
      <c r="K15" s="192"/>
      <c r="L15" s="7">
        <f>(E15-I15)*0.98</f>
        <v>13224.942930000005</v>
      </c>
      <c r="M15" s="8">
        <f>(E15-I15)*0.02</f>
        <v>269.89679448979604</v>
      </c>
      <c r="N15" s="13"/>
      <c r="O15" s="8">
        <f>I15+L15+M15</f>
        <v>26195.429724489801</v>
      </c>
      <c r="P15" s="8"/>
      <c r="Q15" s="7"/>
      <c r="R15" s="8"/>
      <c r="T15" s="13"/>
    </row>
    <row r="17" spans="3:21" x14ac:dyDescent="0.55000000000000004">
      <c r="D17" t="s">
        <v>261</v>
      </c>
      <c r="E17" s="8">
        <f>E7+E10+E11+E13+E15</f>
        <v>652262.96019336744</v>
      </c>
      <c r="F17" s="8">
        <f>F7+F10+F11+F13+F15</f>
        <v>139538.660775</v>
      </c>
      <c r="G17" s="190">
        <f>F17/E17</f>
        <v>0.21393007006504383</v>
      </c>
      <c r="H17" s="8">
        <f>H7+H10+H11+H13+H15</f>
        <v>244758.51300000001</v>
      </c>
      <c r="I17" s="8">
        <f>I7+I10+I11+I13+I15</f>
        <v>384297.17377500003</v>
      </c>
      <c r="J17" s="13">
        <f>I17/E17</f>
        <v>0.58917522108119202</v>
      </c>
      <c r="K17" s="192"/>
      <c r="L17" s="7">
        <f>(E17-I17)*0.98</f>
        <v>262606.47069000005</v>
      </c>
      <c r="M17" s="8">
        <f>(E17-I17)*0.02</f>
        <v>5359.3157283673481</v>
      </c>
      <c r="N17" s="13"/>
      <c r="O17" s="8">
        <f>I17+L17+M17</f>
        <v>652262.96019336744</v>
      </c>
      <c r="P17" s="8"/>
      <c r="Q17" s="13"/>
      <c r="R17" s="13"/>
      <c r="S17" s="13"/>
      <c r="T17" s="114"/>
      <c r="U17" s="206"/>
    </row>
    <row r="18" spans="3:21" x14ac:dyDescent="0.55000000000000004">
      <c r="I18" s="114"/>
      <c r="L18" s="13"/>
      <c r="M18" s="13"/>
    </row>
    <row r="19" spans="3:21" x14ac:dyDescent="0.55000000000000004">
      <c r="D19" s="8"/>
      <c r="E19" s="8"/>
      <c r="F19" s="13"/>
      <c r="G19" s="168"/>
      <c r="H19" s="7"/>
      <c r="I19" s="11"/>
      <c r="L19" s="114"/>
      <c r="P19" s="8"/>
    </row>
    <row r="20" spans="3:21" x14ac:dyDescent="0.55000000000000004">
      <c r="C20" t="s">
        <v>85</v>
      </c>
      <c r="D20" s="3" t="s">
        <v>622</v>
      </c>
      <c r="E20" s="8"/>
      <c r="F20" s="13"/>
      <c r="L20" s="114"/>
      <c r="M20" s="114"/>
      <c r="P20" s="296"/>
      <c r="Q20" s="296"/>
    </row>
    <row r="21" spans="3:21" x14ac:dyDescent="0.55000000000000004">
      <c r="E21" s="160"/>
      <c r="F21" s="160"/>
      <c r="G21" s="160"/>
      <c r="H21" s="160"/>
      <c r="J21" s="21"/>
      <c r="M21" s="21"/>
      <c r="O21" s="21"/>
      <c r="P21" s="21"/>
      <c r="Q21" s="21"/>
    </row>
    <row r="22" spans="3:21" x14ac:dyDescent="0.55000000000000004">
      <c r="E22" s="7"/>
      <c r="F22" s="8"/>
      <c r="G22" s="114"/>
      <c r="H22" s="114"/>
      <c r="I22" s="114"/>
      <c r="J22" s="116"/>
      <c r="M22" s="114"/>
      <c r="N22" s="114"/>
      <c r="O22" s="13"/>
      <c r="P22" s="13"/>
      <c r="Q22" s="13"/>
      <c r="S22" s="114"/>
    </row>
    <row r="23" spans="3:21" x14ac:dyDescent="0.55000000000000004">
      <c r="E23" s="7"/>
      <c r="F23" s="13"/>
      <c r="G23" s="13"/>
      <c r="H23" s="13"/>
      <c r="I23" s="13"/>
      <c r="J23" s="13"/>
      <c r="K23" s="13"/>
      <c r="L23" s="13"/>
      <c r="M23" s="114"/>
      <c r="N23" s="114"/>
      <c r="O23" s="13"/>
      <c r="P23" s="13"/>
      <c r="Q23" s="13"/>
      <c r="S23" s="114"/>
    </row>
    <row r="24" spans="3:21" x14ac:dyDescent="0.55000000000000004">
      <c r="E24" s="7"/>
      <c r="F24" s="13"/>
      <c r="G24" s="13"/>
      <c r="H24" s="13"/>
      <c r="I24" s="13"/>
      <c r="J24" s="13"/>
      <c r="K24" s="13"/>
      <c r="L24" s="13"/>
      <c r="M24" s="114"/>
      <c r="N24" s="114"/>
      <c r="O24" s="13"/>
      <c r="P24" s="13"/>
      <c r="Q24" s="13"/>
    </row>
    <row r="25" spans="3:21" x14ac:dyDescent="0.55000000000000004">
      <c r="E25" s="7"/>
      <c r="F25" s="13"/>
      <c r="G25" s="13"/>
      <c r="H25" s="13"/>
      <c r="I25" s="13"/>
      <c r="J25" s="13"/>
      <c r="K25" s="13"/>
      <c r="L25" s="13"/>
      <c r="M25" s="114"/>
      <c r="N25" s="114"/>
      <c r="O25" s="13"/>
      <c r="P25" s="13"/>
      <c r="Q25" s="13"/>
    </row>
    <row r="26" spans="3:21" x14ac:dyDescent="0.55000000000000004">
      <c r="E26" s="7"/>
      <c r="F26" s="13"/>
      <c r="G26" s="13"/>
      <c r="H26" s="13"/>
      <c r="I26" s="13"/>
      <c r="J26" s="13"/>
      <c r="K26" s="13"/>
      <c r="L26" s="13"/>
      <c r="M26" s="114"/>
      <c r="N26" s="114"/>
      <c r="O26" s="13"/>
      <c r="P26" s="13"/>
      <c r="Q26" s="13"/>
      <c r="S26" s="114"/>
    </row>
    <row r="27" spans="3:21" x14ac:dyDescent="0.55000000000000004">
      <c r="F27" s="13"/>
      <c r="G27" s="13"/>
      <c r="H27" s="13"/>
      <c r="I27" s="13"/>
      <c r="J27" s="13"/>
      <c r="K27" s="13"/>
      <c r="L27" s="13"/>
    </row>
    <row r="28" spans="3:21" x14ac:dyDescent="0.55000000000000004">
      <c r="F28" s="13"/>
      <c r="G28" s="13"/>
      <c r="H28" s="13"/>
      <c r="I28" s="13"/>
      <c r="J28" s="13"/>
      <c r="K28" s="13"/>
      <c r="L28" s="13"/>
    </row>
    <row r="29" spans="3:21" x14ac:dyDescent="0.55000000000000004">
      <c r="F29" s="13"/>
      <c r="G29" s="13"/>
      <c r="H29" s="13"/>
      <c r="I29" s="13"/>
      <c r="J29" s="13"/>
      <c r="K29" s="13"/>
      <c r="L29" s="13"/>
    </row>
    <row r="61" spans="8:26" x14ac:dyDescent="0.55000000000000004">
      <c r="H61" s="296"/>
      <c r="I61" s="296"/>
      <c r="M61" s="296"/>
      <c r="N61" s="296"/>
      <c r="O61" s="296"/>
      <c r="R61" s="296"/>
      <c r="S61" s="296"/>
      <c r="T61" s="296"/>
    </row>
    <row r="62" spans="8:26" x14ac:dyDescent="0.55000000000000004">
      <c r="M62" s="296"/>
      <c r="N62" s="296"/>
      <c r="O62" s="296"/>
      <c r="R62" s="296"/>
      <c r="S62" s="296"/>
      <c r="T62" s="296"/>
    </row>
    <row r="63" spans="8:26" x14ac:dyDescent="0.55000000000000004">
      <c r="H63" s="248"/>
      <c r="I63" s="4"/>
      <c r="K63" s="11"/>
      <c r="M63" s="5"/>
      <c r="N63" s="5"/>
      <c r="P63" s="11"/>
      <c r="R63" s="5"/>
      <c r="V63" s="11"/>
      <c r="X63" s="11"/>
      <c r="Z63" s="13"/>
    </row>
    <row r="64" spans="8:26" x14ac:dyDescent="0.55000000000000004">
      <c r="I64" s="11"/>
      <c r="K64" s="13"/>
      <c r="M64" s="5"/>
      <c r="N64" s="5"/>
      <c r="O64" s="11"/>
      <c r="P64" s="13"/>
      <c r="S64" s="11"/>
      <c r="T64" s="11"/>
    </row>
    <row r="65" spans="4:26" x14ac:dyDescent="0.55000000000000004">
      <c r="D65" s="296"/>
      <c r="E65" s="296"/>
      <c r="F65" s="296"/>
      <c r="H65" s="248"/>
      <c r="I65" s="4"/>
      <c r="M65" s="296"/>
      <c r="N65" s="296"/>
      <c r="O65" s="296"/>
      <c r="R65" s="296"/>
      <c r="S65" s="296"/>
      <c r="T65" s="296"/>
      <c r="V65" s="11"/>
      <c r="X65" s="11"/>
      <c r="Z65" s="13"/>
    </row>
    <row r="66" spans="4:26" x14ac:dyDescent="0.55000000000000004">
      <c r="I66" s="11"/>
      <c r="K66" s="254"/>
      <c r="M66" s="5"/>
      <c r="P66" s="11"/>
      <c r="R66" s="11"/>
    </row>
    <row r="67" spans="4:26" x14ac:dyDescent="0.55000000000000004">
      <c r="D67" s="146"/>
      <c r="H67" s="248"/>
      <c r="I67" s="4"/>
      <c r="K67" s="13"/>
      <c r="M67" s="5"/>
      <c r="N67" s="5"/>
      <c r="O67" s="11"/>
      <c r="P67" s="13"/>
      <c r="R67" s="11"/>
      <c r="S67" s="11"/>
      <c r="T67" s="11"/>
    </row>
    <row r="68" spans="4:26" x14ac:dyDescent="0.55000000000000004">
      <c r="D68" s="146"/>
      <c r="I68" s="11"/>
      <c r="M68" s="296"/>
      <c r="N68" s="296"/>
      <c r="O68" s="296"/>
      <c r="R68" s="296"/>
      <c r="S68" s="296"/>
      <c r="T68" s="296"/>
    </row>
    <row r="69" spans="4:26" x14ac:dyDescent="0.55000000000000004">
      <c r="D69" s="7"/>
      <c r="H69" s="248"/>
      <c r="I69" s="4"/>
      <c r="K69" s="267"/>
      <c r="M69" s="11"/>
      <c r="P69" s="11"/>
      <c r="R69" s="11"/>
    </row>
    <row r="70" spans="4:26" x14ac:dyDescent="0.55000000000000004">
      <c r="D70" s="7"/>
      <c r="I70" s="11"/>
      <c r="K70" s="13"/>
      <c r="M70" s="5"/>
      <c r="N70" s="11"/>
      <c r="O70" s="11"/>
      <c r="P70" s="13"/>
      <c r="R70" s="11"/>
      <c r="S70" s="11"/>
      <c r="T70" s="11"/>
    </row>
    <row r="71" spans="4:26" x14ac:dyDescent="0.55000000000000004">
      <c r="D71" s="8"/>
      <c r="M71" s="296"/>
      <c r="N71" s="296"/>
      <c r="O71" s="296"/>
      <c r="R71" s="296"/>
      <c r="S71" s="296"/>
      <c r="T71" s="296"/>
    </row>
    <row r="72" spans="4:26" x14ac:dyDescent="0.55000000000000004">
      <c r="D72" s="8"/>
      <c r="K72" s="266"/>
      <c r="M72" s="11"/>
      <c r="P72" s="11"/>
      <c r="R72" s="11"/>
    </row>
    <row r="73" spans="4:26" x14ac:dyDescent="0.55000000000000004">
      <c r="D73" s="7"/>
      <c r="K73" s="13"/>
      <c r="M73" s="5"/>
      <c r="N73" s="11"/>
      <c r="O73" s="11"/>
      <c r="P73" s="13"/>
      <c r="R73" s="11"/>
      <c r="S73" s="11"/>
      <c r="T73" s="11"/>
    </row>
    <row r="74" spans="4:26" x14ac:dyDescent="0.55000000000000004">
      <c r="D74" s="7"/>
    </row>
    <row r="75" spans="4:26" x14ac:dyDescent="0.55000000000000004">
      <c r="D75" s="7"/>
    </row>
    <row r="76" spans="4:26" x14ac:dyDescent="0.55000000000000004">
      <c r="D76" s="7"/>
    </row>
    <row r="77" spans="4:26" x14ac:dyDescent="0.55000000000000004">
      <c r="D77" s="8"/>
    </row>
    <row r="78" spans="4:26" x14ac:dyDescent="0.55000000000000004">
      <c r="D78" s="8"/>
    </row>
    <row r="79" spans="4:26" x14ac:dyDescent="0.55000000000000004">
      <c r="D79" s="8"/>
    </row>
    <row r="80" spans="4:26" x14ac:dyDescent="0.55000000000000004">
      <c r="D80" s="8"/>
    </row>
  </sheetData>
  <mergeCells count="15">
    <mergeCell ref="R61:T61"/>
    <mergeCell ref="E5:F5"/>
    <mergeCell ref="H5:J5"/>
    <mergeCell ref="P20:Q20"/>
    <mergeCell ref="H61:I61"/>
    <mergeCell ref="M61:O61"/>
    <mergeCell ref="M71:O71"/>
    <mergeCell ref="R71:T71"/>
    <mergeCell ref="M62:O62"/>
    <mergeCell ref="R62:T62"/>
    <mergeCell ref="D65:F65"/>
    <mergeCell ref="M65:O65"/>
    <mergeCell ref="R65:T65"/>
    <mergeCell ref="M68:O68"/>
    <mergeCell ref="R68:T68"/>
  </mergeCells>
  <hyperlinks>
    <hyperlink ref="D20" r:id="rId1" xr:uid="{69EAA3C1-D2DA-414D-B06F-F9A97271095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6339-B681-41B9-A49F-D07C3B5F8A07}">
  <dimension ref="A1:AW281"/>
  <sheetViews>
    <sheetView zoomScale="90" zoomScaleNormal="90" workbookViewId="0">
      <selection activeCell="I10" sqref="I10"/>
    </sheetView>
  </sheetViews>
  <sheetFormatPr defaultRowHeight="14.4" x14ac:dyDescent="0.55000000000000004"/>
  <cols>
    <col min="1" max="1" width="13.3125" bestFit="1" customWidth="1"/>
    <col min="2" max="2" width="14.1015625" customWidth="1"/>
    <col min="3" max="3" width="10.7890625" bestFit="1" customWidth="1"/>
    <col min="4" max="4" width="15.7890625" customWidth="1"/>
    <col min="5" max="6" width="14.5234375" customWidth="1"/>
    <col min="7" max="7" width="15.20703125" customWidth="1"/>
    <col min="8" max="8" width="13" customWidth="1"/>
    <col min="9" max="11" width="14.5234375" customWidth="1"/>
    <col min="12" max="12" width="12.5234375" customWidth="1"/>
    <col min="13" max="13" width="19.1015625" style="202" customWidth="1"/>
    <col min="14" max="14" width="14.41796875" customWidth="1"/>
    <col min="15" max="15" width="12" customWidth="1"/>
    <col min="16" max="16" width="12.20703125" bestFit="1" customWidth="1"/>
    <col min="17" max="17" width="14.89453125" customWidth="1"/>
    <col min="18" max="18" width="12.20703125" customWidth="1"/>
    <col min="19" max="19" width="9.68359375" customWidth="1"/>
    <col min="20" max="20" width="11.5234375" customWidth="1"/>
    <col min="21" max="22" width="13.20703125" customWidth="1"/>
    <col min="23" max="23" width="9.89453125" customWidth="1"/>
    <col min="24" max="24" width="12.5234375" customWidth="1"/>
    <col min="27" max="27" width="11.7890625" customWidth="1"/>
    <col min="28" max="28" width="13.89453125" customWidth="1"/>
    <col min="29" max="29" width="12.20703125" customWidth="1"/>
    <col min="30" max="30" width="2" style="215" customWidth="1"/>
    <col min="31" max="33" width="12.20703125" customWidth="1"/>
    <col min="34" max="34" width="11.41796875" customWidth="1"/>
    <col min="35" max="35" width="12.3125" customWidth="1"/>
    <col min="36" max="36" width="8" customWidth="1"/>
    <col min="37" max="37" width="12.41796875" customWidth="1"/>
    <col min="38" max="38" width="9.68359375" customWidth="1"/>
    <col min="39" max="39" width="9.89453125" bestFit="1" customWidth="1"/>
    <col min="40" max="40" width="12.1015625" bestFit="1" customWidth="1"/>
    <col min="41" max="41" width="9.3125" bestFit="1" customWidth="1"/>
    <col min="42" max="42" width="14.89453125" bestFit="1" customWidth="1"/>
    <col min="43" max="43" width="16.5234375" bestFit="1" customWidth="1"/>
    <col min="44" max="44" width="17.89453125" bestFit="1" customWidth="1"/>
    <col min="45" max="45" width="20.68359375" bestFit="1" customWidth="1"/>
    <col min="47" max="47" width="8" customWidth="1"/>
    <col min="53" max="53" width="12.1015625" customWidth="1"/>
  </cols>
  <sheetData>
    <row r="1" spans="1:49" x14ac:dyDescent="0.55000000000000004">
      <c r="D1" s="168"/>
      <c r="AE1" s="211"/>
      <c r="AF1" s="211"/>
      <c r="AG1" s="211"/>
      <c r="AH1" s="211"/>
      <c r="AI1" s="211"/>
      <c r="AJ1" s="211"/>
      <c r="AK1" s="211"/>
    </row>
    <row r="2" spans="1:49" ht="27.6" customHeight="1" x14ac:dyDescent="0.55000000000000004">
      <c r="B2" s="168"/>
      <c r="D2" s="168"/>
      <c r="E2" s="292" t="s">
        <v>432</v>
      </c>
      <c r="F2" s="292"/>
      <c r="G2" s="292"/>
      <c r="H2" s="292"/>
      <c r="I2" s="292"/>
      <c r="J2" s="292"/>
      <c r="K2" s="292"/>
      <c r="L2" s="292"/>
      <c r="M2" s="292"/>
      <c r="N2" s="292"/>
      <c r="O2" s="292"/>
      <c r="P2" s="292"/>
      <c r="Q2" s="292"/>
      <c r="R2" s="273"/>
      <c r="AD2" s="212"/>
      <c r="AE2" s="211"/>
      <c r="AF2" s="211"/>
      <c r="AG2" s="211"/>
      <c r="AH2" s="211"/>
      <c r="AI2" s="211"/>
      <c r="AJ2" s="211"/>
      <c r="AK2" s="211"/>
      <c r="AP2" s="21"/>
      <c r="AQ2" s="21"/>
      <c r="AR2" s="21"/>
      <c r="AT2" s="9"/>
    </row>
    <row r="3" spans="1:49" ht="43.2" x14ac:dyDescent="0.55000000000000004">
      <c r="B3" s="152"/>
      <c r="D3" s="287" t="s">
        <v>562</v>
      </c>
      <c r="E3" s="21" t="s">
        <v>430</v>
      </c>
      <c r="F3" s="21"/>
      <c r="G3" s="21" t="s">
        <v>431</v>
      </c>
      <c r="H3" s="21"/>
      <c r="I3" s="21" t="s">
        <v>434</v>
      </c>
      <c r="J3" s="21"/>
      <c r="K3" s="21"/>
      <c r="L3" s="21" t="s">
        <v>261</v>
      </c>
      <c r="O3" s="287" t="s">
        <v>562</v>
      </c>
      <c r="P3" s="21" t="s">
        <v>437</v>
      </c>
      <c r="R3" s="21" t="s">
        <v>474</v>
      </c>
      <c r="T3" s="21" t="s">
        <v>438</v>
      </c>
      <c r="V3" s="21" t="s">
        <v>436</v>
      </c>
      <c r="Y3" s="152"/>
      <c r="Z3" s="152"/>
      <c r="AA3" s="7"/>
      <c r="AB3" s="21"/>
      <c r="AC3" s="21"/>
      <c r="AD3" s="213"/>
      <c r="AE3" s="211"/>
      <c r="AF3" s="211"/>
      <c r="AG3" s="211"/>
      <c r="AH3" s="211"/>
      <c r="AI3" s="211"/>
      <c r="AJ3" s="211"/>
      <c r="AK3" s="211"/>
      <c r="AO3" s="235"/>
      <c r="AQ3" s="116"/>
      <c r="AR3" s="116"/>
    </row>
    <row r="4" spans="1:49" ht="43.2" customHeight="1" x14ac:dyDescent="0.55000000000000004">
      <c r="A4" s="231"/>
      <c r="B4" s="13"/>
      <c r="C4" s="253"/>
      <c r="D4" s="287"/>
      <c r="E4" s="199">
        <f>(((1.67+1.23)/2)/1000)*1.10231</f>
        <v>1.5983494999999997E-3</v>
      </c>
      <c r="F4" s="199"/>
      <c r="G4" s="199">
        <f>((2/1000)*1.10231)</f>
        <v>2.20462E-3</v>
      </c>
      <c r="H4" s="201"/>
      <c r="I4" s="201">
        <f>(10.3/1000)*1.10231</f>
        <v>1.1353792999999999E-2</v>
      </c>
      <c r="J4" s="201"/>
      <c r="K4" s="201"/>
      <c r="L4" s="201">
        <f>E4+G4+I4</f>
        <v>1.5156762499999999E-2</v>
      </c>
      <c r="O4" s="287"/>
      <c r="P4" s="198">
        <f>(0.56/1000)*1.10231</f>
        <v>6.1729359999999997E-4</v>
      </c>
      <c r="R4" s="198">
        <f>(0.1/1000)*1.10231</f>
        <v>1.10231E-4</v>
      </c>
      <c r="T4" s="122">
        <f>(0.56/1000)*1.10231</f>
        <v>6.1729359999999997E-4</v>
      </c>
      <c r="V4" s="198">
        <f>(0.1/1000)*1.10231</f>
        <v>1.10231E-4</v>
      </c>
      <c r="AA4" s="207"/>
      <c r="AB4" s="209"/>
      <c r="AC4" s="209"/>
      <c r="AD4" s="214"/>
      <c r="AE4" s="211"/>
      <c r="AF4" s="211"/>
      <c r="AG4" s="211"/>
      <c r="AH4" s="211"/>
      <c r="AI4" s="211"/>
      <c r="AJ4" s="211"/>
      <c r="AK4" s="211"/>
      <c r="AN4" s="116"/>
    </row>
    <row r="5" spans="1:49" x14ac:dyDescent="0.55000000000000004">
      <c r="A5" s="13"/>
      <c r="B5" s="26"/>
      <c r="E5" s="26"/>
      <c r="F5" s="26"/>
      <c r="G5" s="26"/>
      <c r="H5" s="26"/>
      <c r="I5" s="26"/>
      <c r="J5" s="26"/>
      <c r="K5" s="26"/>
      <c r="AE5" s="211"/>
      <c r="AF5" s="211"/>
      <c r="AG5" s="211"/>
      <c r="AH5" s="211"/>
      <c r="AI5" s="211"/>
      <c r="AJ5" s="211"/>
      <c r="AK5" s="211"/>
      <c r="AO5" s="119"/>
    </row>
    <row r="6" spans="1:49" x14ac:dyDescent="0.55000000000000004">
      <c r="B6" s="168"/>
      <c r="C6" s="239"/>
      <c r="D6" s="240"/>
      <c r="E6" s="263"/>
      <c r="G6" s="263"/>
      <c r="H6" s="241"/>
      <c r="I6" s="263"/>
      <c r="J6" s="251"/>
      <c r="K6" s="241"/>
      <c r="L6" s="239"/>
      <c r="U6" s="21"/>
      <c r="V6" s="21"/>
      <c r="Y6" s="13"/>
      <c r="Z6" s="13"/>
      <c r="AA6" s="246"/>
      <c r="AB6" s="9"/>
      <c r="AC6" s="21"/>
      <c r="AD6" s="216"/>
      <c r="AE6" s="211"/>
      <c r="AF6" s="211"/>
      <c r="AG6" s="211"/>
      <c r="AH6" s="211"/>
      <c r="AI6" s="211"/>
      <c r="AJ6" s="211"/>
      <c r="AK6" s="211"/>
      <c r="AO6" s="235"/>
      <c r="AQ6" s="234"/>
    </row>
    <row r="7" spans="1:49" x14ac:dyDescent="0.55000000000000004">
      <c r="A7" s="13"/>
      <c r="C7" s="299" t="s">
        <v>563</v>
      </c>
      <c r="D7" s="260" t="s">
        <v>557</v>
      </c>
      <c r="E7" s="259">
        <f>E4*'NAICS Codes Data_2019'!H4*10^6</f>
        <v>504.66971839288351</v>
      </c>
      <c r="F7" s="259"/>
      <c r="G7" s="259">
        <f>G4*'NAICS Codes Data_2019'!H6*10^6</f>
        <v>826.85876111060202</v>
      </c>
      <c r="H7" s="259"/>
      <c r="I7" s="259">
        <f>I4*'NAICS Codes Data_2019'!H13*10^6</f>
        <v>4101.5411371093078</v>
      </c>
      <c r="J7" s="242"/>
      <c r="K7" s="262"/>
      <c r="L7" s="243"/>
      <c r="N7" s="299" t="s">
        <v>563</v>
      </c>
      <c r="O7" s="260" t="s">
        <v>557</v>
      </c>
      <c r="P7" s="116">
        <f>P4*'NAICS Codes Data_2019'!H4*10^6</f>
        <v>194.90692572414815</v>
      </c>
      <c r="Q7" s="192"/>
      <c r="R7" s="116">
        <f>R4*0.413*'NAICS Codes Data_2019'!H5*10^6</f>
        <v>17.593629042773184</v>
      </c>
      <c r="S7" s="203"/>
      <c r="T7" s="116">
        <f>T4*'NAICS Codes Data_2019'!H4*10^6</f>
        <v>194.90692572414815</v>
      </c>
      <c r="U7" s="165"/>
      <c r="V7" s="165">
        <f>V4*0.144*'NAICS Codes Data_2019'!H5*10^6</f>
        <v>6.1343403926376228</v>
      </c>
      <c r="AB7" s="208"/>
      <c r="AC7" s="208"/>
      <c r="AD7" s="217"/>
      <c r="AE7" s="211"/>
      <c r="AF7" s="211"/>
      <c r="AG7" s="211"/>
      <c r="AH7" s="211"/>
      <c r="AI7" s="211"/>
      <c r="AJ7" s="211"/>
      <c r="AK7" s="211"/>
      <c r="AO7" s="235"/>
      <c r="AQ7" s="234"/>
    </row>
    <row r="8" spans="1:49" x14ac:dyDescent="0.55000000000000004">
      <c r="C8" s="299"/>
      <c r="D8" s="258" t="s">
        <v>553</v>
      </c>
      <c r="E8" s="259">
        <f>E4*'NAICS Codes Data_2019'!I4*10^6</f>
        <v>111.65499684451842</v>
      </c>
      <c r="F8" s="259"/>
      <c r="G8" s="259">
        <f>G4*'NAICS Codes Data_2019'!I6*10^6</f>
        <v>120.099568404655</v>
      </c>
      <c r="H8" s="259"/>
      <c r="I8" s="259">
        <f>I4*'NAICS Codes Data_2019'!I13*10^6</f>
        <v>670.57984786738041</v>
      </c>
      <c r="J8" s="242"/>
      <c r="K8" s="242"/>
      <c r="L8" s="243"/>
      <c r="N8" s="299"/>
      <c r="O8" s="258" t="s">
        <v>553</v>
      </c>
      <c r="P8" s="116">
        <f>P4*'NAICS Codes Data_2019'!I4*10^6</f>
        <v>43.121929815814021</v>
      </c>
      <c r="Q8" s="192"/>
      <c r="R8" s="116">
        <f>R4*0.413*'NAICS Codes Data_2019'!I5*10^6</f>
        <v>3.7013395362982671</v>
      </c>
      <c r="S8" s="203"/>
      <c r="T8" s="116">
        <f>T4*'NAICS Codes Data_2019'!I4*10^6</f>
        <v>43.121929815814021</v>
      </c>
      <c r="U8" s="165"/>
      <c r="V8" s="165">
        <f>V4*0.144*'NAICS Codes Data_2019'!I5*10^6</f>
        <v>1.2905396930434634</v>
      </c>
      <c r="AB8" s="208"/>
      <c r="AC8" s="208"/>
      <c r="AD8" s="217"/>
      <c r="AE8" s="211"/>
      <c r="AF8" s="211"/>
      <c r="AG8" s="211"/>
      <c r="AH8" s="211"/>
      <c r="AI8" s="211"/>
      <c r="AJ8" s="211"/>
      <c r="AK8" s="211"/>
      <c r="AL8" s="211"/>
      <c r="AM8" s="211"/>
      <c r="AN8" s="211"/>
      <c r="AO8" s="211"/>
      <c r="AP8" s="211"/>
      <c r="AQ8" s="211"/>
      <c r="AR8" s="211"/>
      <c r="AS8" s="211"/>
      <c r="AT8" s="211"/>
      <c r="AU8" s="211"/>
      <c r="AV8" s="211"/>
      <c r="AW8" s="211"/>
    </row>
    <row r="9" spans="1:49" x14ac:dyDescent="0.55000000000000004">
      <c r="B9" s="137"/>
      <c r="J9" s="242"/>
      <c r="K9" s="262"/>
      <c r="L9" s="243"/>
      <c r="Q9" s="192"/>
      <c r="R9" s="192"/>
      <c r="S9" s="203"/>
      <c r="T9" s="203"/>
      <c r="U9" s="165"/>
      <c r="V9" s="165"/>
      <c r="AB9" s="208"/>
      <c r="AC9" s="208"/>
      <c r="AD9" s="217"/>
      <c r="AE9" s="211"/>
      <c r="AF9" s="211"/>
      <c r="AG9" s="211"/>
      <c r="AH9" s="211"/>
      <c r="AI9" s="211"/>
      <c r="AJ9" s="211"/>
      <c r="AK9" s="211"/>
      <c r="AL9" s="211"/>
      <c r="AM9" s="211"/>
      <c r="AN9" s="211"/>
      <c r="AO9" s="211"/>
      <c r="AP9" s="211"/>
      <c r="AQ9" s="211"/>
      <c r="AR9" s="211"/>
      <c r="AS9" s="211"/>
      <c r="AT9" s="211"/>
      <c r="AU9" s="211"/>
      <c r="AV9" s="211"/>
      <c r="AW9" s="211"/>
    </row>
    <row r="10" spans="1:49" x14ac:dyDescent="0.55000000000000004">
      <c r="B10" s="166"/>
      <c r="C10" s="300" t="s">
        <v>564</v>
      </c>
      <c r="D10" s="260" t="s">
        <v>557</v>
      </c>
      <c r="E10" s="116">
        <f>E4*'NAICS Codes Data_2019'!V4*10^6</f>
        <v>430.62433755074414</v>
      </c>
      <c r="F10" s="116"/>
      <c r="G10" s="116">
        <f>G4*'NAICS Codes Data_2019'!V6*10^6</f>
        <v>687.60077972709553</v>
      </c>
      <c r="H10" s="116"/>
      <c r="I10" s="116">
        <f>I4*'NAICS Codes Data_2019'!V13*10^6</f>
        <v>3066.1829981346718</v>
      </c>
      <c r="J10" s="242"/>
      <c r="K10" s="262"/>
      <c r="L10" s="243"/>
      <c r="N10" s="300" t="s">
        <v>564</v>
      </c>
      <c r="O10" s="260" t="s">
        <v>557</v>
      </c>
      <c r="P10" s="116">
        <f>P4*'NAICS Codes Data_2019'!V4*10^6</f>
        <v>166.31008898511502</v>
      </c>
      <c r="Q10" s="192"/>
      <c r="R10" s="116">
        <f>R4*0.413*'NAICS Codes Data_2019'!V5*10^6</f>
        <v>13.996362655764512</v>
      </c>
      <c r="S10" s="245"/>
      <c r="T10" s="116">
        <f>T4*'NAICS Codes Data_2019'!V4*10^6</f>
        <v>166.31008898511502</v>
      </c>
      <c r="U10" s="165"/>
      <c r="V10" s="165">
        <f>V4*0.144*'NAICS Codes Data_2019'!V5*10^6</f>
        <v>4.8800877056418637</v>
      </c>
      <c r="AB10" s="208"/>
      <c r="AC10" s="210"/>
      <c r="AD10" s="218"/>
      <c r="AE10" s="211"/>
      <c r="AF10" s="211"/>
      <c r="AG10" s="211"/>
      <c r="AH10" s="211"/>
      <c r="AI10" s="211"/>
      <c r="AJ10" s="211"/>
      <c r="AK10" s="211"/>
      <c r="AL10" s="211"/>
      <c r="AM10" s="211"/>
      <c r="AN10" s="211"/>
      <c r="AO10" s="211"/>
      <c r="AP10" s="211"/>
      <c r="AQ10" s="211"/>
      <c r="AR10" s="211"/>
      <c r="AS10" s="211"/>
      <c r="AT10" s="211"/>
      <c r="AU10" s="211"/>
      <c r="AV10" s="211"/>
      <c r="AW10" s="211"/>
    </row>
    <row r="11" spans="1:49" x14ac:dyDescent="0.55000000000000004">
      <c r="C11" s="300"/>
      <c r="D11" s="258" t="s">
        <v>553</v>
      </c>
      <c r="E11" s="116">
        <f>E4*'NAICS Codes Data_2019'!W4*10^6</f>
        <v>95.165599458728011</v>
      </c>
      <c r="F11" s="116"/>
      <c r="G11" s="116">
        <f>G4*'NAICS Codes Data_2019'!W6*10^6</f>
        <v>100.13186354775829</v>
      </c>
      <c r="H11" s="116"/>
      <c r="I11" s="261">
        <f>I4*'NAICS Codes Data_2019'!W13*10^6</f>
        <v>531.37236352938464</v>
      </c>
      <c r="J11" s="244"/>
      <c r="K11" s="262"/>
      <c r="L11" s="264"/>
      <c r="N11" s="300"/>
      <c r="O11" s="258" t="s">
        <v>553</v>
      </c>
      <c r="P11" s="116">
        <f>P4*'NAICS Codes Data_2019'!W4*10^6</f>
        <v>36.753610825439779</v>
      </c>
      <c r="Q11" s="203"/>
      <c r="R11" s="116">
        <f>R4*0.413*'NAICS Codes Data_2019'!W5*10^6</f>
        <v>2.9370026955846282</v>
      </c>
      <c r="S11" s="203"/>
      <c r="T11" s="116">
        <f>T4*'NAICS Codes Data_2019'!W4*10^6</f>
        <v>36.753610825439779</v>
      </c>
      <c r="U11" s="203"/>
      <c r="V11" s="165">
        <f>V4*0.144*'NAICS Codes Data_2019'!W5*10^6</f>
        <v>1.024039680784955</v>
      </c>
      <c r="AA11" s="10"/>
      <c r="AB11" s="211"/>
      <c r="AC11" s="211"/>
      <c r="AD11" s="219"/>
      <c r="AE11" s="211"/>
      <c r="AF11" s="211"/>
      <c r="AG11" s="211"/>
      <c r="AH11" s="211"/>
      <c r="AI11" s="211"/>
      <c r="AJ11" s="211"/>
      <c r="AK11" s="211"/>
      <c r="AL11" s="211"/>
      <c r="AM11" s="211"/>
      <c r="AN11" s="211"/>
      <c r="AO11" s="211"/>
      <c r="AP11" s="211"/>
      <c r="AQ11" s="211"/>
      <c r="AR11" s="211"/>
      <c r="AS11" s="211"/>
      <c r="AT11" s="211"/>
      <c r="AU11" s="211"/>
      <c r="AV11" s="211"/>
      <c r="AW11" s="211"/>
    </row>
    <row r="12" spans="1:49" x14ac:dyDescent="0.55000000000000004">
      <c r="B12" s="13"/>
      <c r="E12" s="13"/>
      <c r="F12" s="13"/>
      <c r="G12" s="13"/>
      <c r="H12" s="13"/>
      <c r="I12" s="13"/>
      <c r="J12" s="13"/>
      <c r="K12" s="13"/>
      <c r="L12" s="192"/>
      <c r="P12" s="203"/>
      <c r="Q12" s="203"/>
      <c r="R12" s="203"/>
      <c r="S12" s="203"/>
      <c r="T12" s="203"/>
      <c r="U12" s="165"/>
      <c r="V12" s="165"/>
      <c r="AE12" s="211"/>
      <c r="AF12" s="211"/>
      <c r="AG12" s="211"/>
      <c r="AH12" s="211"/>
      <c r="AI12" s="211"/>
      <c r="AJ12" s="211"/>
      <c r="AK12" s="211"/>
      <c r="AL12" s="211"/>
      <c r="AM12" s="211"/>
      <c r="AN12" s="211"/>
      <c r="AO12" s="211"/>
      <c r="AP12" s="211"/>
      <c r="AQ12" s="211"/>
      <c r="AR12" s="211"/>
      <c r="AS12" s="211"/>
      <c r="AT12" s="211"/>
      <c r="AU12" s="211"/>
      <c r="AV12" s="211"/>
      <c r="AW12" s="211"/>
    </row>
    <row r="13" spans="1:49" x14ac:dyDescent="0.55000000000000004">
      <c r="E13" t="s">
        <v>496</v>
      </c>
      <c r="F13" t="s">
        <v>489</v>
      </c>
      <c r="G13" t="s">
        <v>496</v>
      </c>
      <c r="H13" t="s">
        <v>489</v>
      </c>
      <c r="I13" t="s">
        <v>496</v>
      </c>
      <c r="J13" t="s">
        <v>489</v>
      </c>
      <c r="K13" t="s">
        <v>496</v>
      </c>
      <c r="L13" t="s">
        <v>489</v>
      </c>
      <c r="Q13" t="s">
        <v>496</v>
      </c>
      <c r="R13" t="s">
        <v>489</v>
      </c>
      <c r="S13" t="s">
        <v>496</v>
      </c>
      <c r="T13" t="s">
        <v>489</v>
      </c>
      <c r="U13" t="s">
        <v>496</v>
      </c>
      <c r="V13" t="s">
        <v>489</v>
      </c>
      <c r="W13" t="s">
        <v>496</v>
      </c>
      <c r="X13" t="s">
        <v>489</v>
      </c>
      <c r="Y13" t="s">
        <v>496</v>
      </c>
      <c r="Z13" t="s">
        <v>489</v>
      </c>
      <c r="AA13" s="208"/>
      <c r="AB13" s="208"/>
      <c r="AC13" s="208"/>
      <c r="AE13" s="211"/>
      <c r="AF13" s="211"/>
      <c r="AG13" s="211"/>
      <c r="AH13" s="211"/>
      <c r="AI13" s="211"/>
      <c r="AJ13" s="211"/>
      <c r="AK13" s="211"/>
      <c r="AL13" s="211"/>
      <c r="AM13" s="211"/>
      <c r="AN13" s="211"/>
      <c r="AO13" s="211"/>
      <c r="AP13" s="211"/>
      <c r="AQ13" s="211"/>
      <c r="AR13" s="211"/>
      <c r="AS13" s="211"/>
      <c r="AT13" s="211"/>
      <c r="AU13" s="211"/>
      <c r="AV13" s="211"/>
      <c r="AW13" s="211"/>
    </row>
    <row r="14" spans="1:49" ht="43.2" customHeight="1" x14ac:dyDescent="0.55000000000000004">
      <c r="A14" s="116"/>
      <c r="B14" s="205"/>
      <c r="C14" s="167"/>
      <c r="D14" s="237" t="s">
        <v>435</v>
      </c>
      <c r="E14" s="301" t="s">
        <v>430</v>
      </c>
      <c r="F14" s="301"/>
      <c r="G14" s="301" t="s">
        <v>431</v>
      </c>
      <c r="H14" s="301"/>
      <c r="I14" s="301" t="s">
        <v>434</v>
      </c>
      <c r="J14" s="301"/>
      <c r="K14" s="301" t="s">
        <v>261</v>
      </c>
      <c r="L14" s="301"/>
      <c r="P14" s="237" t="s">
        <v>435</v>
      </c>
      <c r="Q14" s="301" t="s">
        <v>437</v>
      </c>
      <c r="R14" s="301"/>
      <c r="S14" s="302" t="s">
        <v>275</v>
      </c>
      <c r="T14" s="302"/>
      <c r="U14" s="301" t="s">
        <v>438</v>
      </c>
      <c r="V14" s="301"/>
      <c r="W14" s="301" t="s">
        <v>436</v>
      </c>
      <c r="X14" s="301"/>
      <c r="Y14" s="301" t="s">
        <v>261</v>
      </c>
      <c r="Z14" s="301"/>
      <c r="AA14" s="208"/>
      <c r="AB14" s="208"/>
      <c r="AC14" s="208"/>
      <c r="AE14" s="211"/>
      <c r="AF14" s="211"/>
      <c r="AG14" s="211"/>
      <c r="AH14" s="211"/>
      <c r="AI14" s="211"/>
      <c r="AJ14" s="211"/>
      <c r="AK14" s="211"/>
      <c r="AL14" s="211"/>
      <c r="AM14" s="211"/>
      <c r="AN14" s="211"/>
      <c r="AO14" s="211"/>
      <c r="AP14" s="211"/>
      <c r="AQ14" s="211"/>
      <c r="AR14" s="211"/>
      <c r="AS14" s="211"/>
      <c r="AT14" s="211"/>
      <c r="AU14" s="211"/>
      <c r="AV14" s="211"/>
      <c r="AW14" s="211"/>
    </row>
    <row r="15" spans="1:49" x14ac:dyDescent="0.55000000000000004">
      <c r="B15" s="168"/>
      <c r="C15" s="167"/>
      <c r="D15" s="13" t="s">
        <v>3</v>
      </c>
      <c r="E15" s="116">
        <f>E4*(PET_MFA!I41+PET_MFA!I15)</f>
        <v>97.766172432377587</v>
      </c>
      <c r="F15" s="116">
        <f>E4*(PET_Scenario_MFA!I42+PET_Scenario_MFA!I15)</f>
        <v>146.63112832438532</v>
      </c>
      <c r="G15" s="116">
        <f>G4*(PET_MFA!I41+PET_MFA!I15)</f>
        <v>134.849893010176</v>
      </c>
      <c r="H15" s="116">
        <f>G4*(PET_Scenario_MFA!I42+PET_Scenario_MFA!I15)</f>
        <v>202.249832171566</v>
      </c>
      <c r="I15" s="116">
        <f>I4*PET_MFA!S14</f>
        <v>501.07263547477191</v>
      </c>
      <c r="J15" s="116">
        <f>I4*PET_Scenario_MFA!S14</f>
        <v>761.96027598433045</v>
      </c>
      <c r="K15" s="203">
        <f t="shared" ref="K15:L18" si="0">E15+G15+I15</f>
        <v>733.68870091732549</v>
      </c>
      <c r="L15" s="154">
        <f t="shared" si="0"/>
        <v>1110.8412364802816</v>
      </c>
      <c r="P15" t="s">
        <v>3</v>
      </c>
      <c r="Q15" s="116">
        <f>P4*(PET_MFA!S10)</f>
        <v>80.515786151294606</v>
      </c>
      <c r="R15" s="116">
        <f>P4*(PET_Scenario_MFA!S10)</f>
        <v>66.615287402591122</v>
      </c>
      <c r="S15" s="205">
        <f>R4*(PET_MFA!S10)</f>
        <v>14.377818955588323</v>
      </c>
      <c r="T15" s="205">
        <f>R4*(PET_Scenario_MFA!S10)</f>
        <v>11.895587036176986</v>
      </c>
      <c r="U15" s="205">
        <f>T4*(PET_MFA!S11)</f>
        <v>1.6557134527163087</v>
      </c>
      <c r="V15" s="205">
        <f>T4*PET_Scenario_MFA!S11</f>
        <v>1.3720298047835844</v>
      </c>
      <c r="W15" s="205">
        <f>V4*(PET_MFA!S11)</f>
        <v>0.2956631165564837</v>
      </c>
      <c r="X15" s="205">
        <f>V4*PET_Scenario_MFA!S11</f>
        <v>0.24500532228278293</v>
      </c>
      <c r="Y15" s="154">
        <f>Q15+S15+U15+W15</f>
        <v>96.844981676155726</v>
      </c>
      <c r="Z15" s="154">
        <f>R15+T15+V15+X15</f>
        <v>80.127909565834472</v>
      </c>
      <c r="AA15" s="208"/>
      <c r="AB15" s="208"/>
      <c r="AC15" s="208"/>
      <c r="AE15" s="211"/>
      <c r="AF15" s="211"/>
      <c r="AG15" s="211"/>
      <c r="AH15" s="211"/>
      <c r="AI15" s="211"/>
      <c r="AJ15" s="211"/>
      <c r="AK15" s="211"/>
      <c r="AL15" s="211"/>
      <c r="AM15" s="211"/>
      <c r="AN15" s="211"/>
      <c r="AO15" s="211"/>
      <c r="AP15" s="211"/>
      <c r="AQ15" s="211"/>
      <c r="AR15" s="211"/>
      <c r="AS15" s="211"/>
      <c r="AT15" s="211"/>
      <c r="AU15" s="211"/>
      <c r="AV15" s="211"/>
      <c r="AW15" s="211"/>
    </row>
    <row r="16" spans="1:49" x14ac:dyDescent="0.55000000000000004">
      <c r="B16" s="236"/>
      <c r="C16" s="167"/>
      <c r="D16" t="s">
        <v>1</v>
      </c>
      <c r="E16" s="116">
        <f>E4*(HDPE_MFA!F64+HDPE_MFA!F29)</f>
        <v>89.263055069667132</v>
      </c>
      <c r="F16" s="116">
        <f>E4*(HDPE_Scenario_MFA!F64+HDPE_Scenario_MFA!F29)</f>
        <v>134.77973733109567</v>
      </c>
      <c r="G16" s="116">
        <f>G4*(HDPE_MFA!F64+HDPE_MFA!F29)</f>
        <v>123.12145526850641</v>
      </c>
      <c r="H16" s="116">
        <f>G4*(HDPE_Scenario_MFA!F64+HDPE_Scenario_MFA!F29)</f>
        <v>185.9030859739251</v>
      </c>
      <c r="I16" s="116">
        <f>I4*HDPE_MFA!O19</f>
        <v>410.65932224422363</v>
      </c>
      <c r="J16" s="116">
        <f>I4*HDPE_Scenario_MFA!O19</f>
        <v>627.91248712503352</v>
      </c>
      <c r="K16" s="203">
        <f t="shared" si="0"/>
        <v>623.04383258239716</v>
      </c>
      <c r="L16" s="154">
        <f t="shared" si="0"/>
        <v>948.59531043005427</v>
      </c>
      <c r="P16" s="152" t="s">
        <v>1</v>
      </c>
      <c r="Q16" s="116">
        <f>P4*HDPE_MFA!O15</f>
        <v>113.08288213977674</v>
      </c>
      <c r="R16" s="116">
        <f>P4*HDPE_Scenario_MFA!O15</f>
        <v>101.4655237542262</v>
      </c>
      <c r="S16" s="205">
        <f>R4*HDPE_MFA!O15</f>
        <v>20.193371810674417</v>
      </c>
      <c r="T16" s="205">
        <f>R4*HDPE_Scenario_MFA!O15</f>
        <v>18.118843527540392</v>
      </c>
      <c r="U16" s="205">
        <f>T4*HDPE_MFA!O16</f>
        <v>2.3138206722340637</v>
      </c>
      <c r="V16" s="205">
        <f>T4*HDPE_Scenario_MFA!O16</f>
        <v>2.0766270821149679</v>
      </c>
      <c r="W16" s="205">
        <f>V4*HDPE_MFA!O16</f>
        <v>0.41318226289893994</v>
      </c>
      <c r="X16" s="205">
        <f>V4*HDPE_Scenario_MFA!O16</f>
        <v>0.37082626466338714</v>
      </c>
      <c r="Y16" s="154">
        <f t="shared" ref="Y16:Z19" si="1">Q16+S16+U16+W16</f>
        <v>136.00325688558416</v>
      </c>
      <c r="Z16" s="154">
        <f t="shared" si="1"/>
        <v>122.03182062854495</v>
      </c>
      <c r="AA16" s="208"/>
      <c r="AB16" s="208"/>
      <c r="AC16" s="208"/>
      <c r="AE16" s="211"/>
      <c r="AF16" s="211"/>
      <c r="AG16" s="211"/>
      <c r="AH16" s="211"/>
      <c r="AI16" s="211"/>
      <c r="AJ16" s="211"/>
      <c r="AK16" s="211"/>
      <c r="AL16" s="211"/>
      <c r="AM16" s="211"/>
      <c r="AN16" s="211"/>
      <c r="AO16" s="211"/>
      <c r="AP16" s="211"/>
      <c r="AQ16" s="211"/>
      <c r="AR16" s="211"/>
      <c r="AS16" s="211"/>
      <c r="AT16" s="211"/>
      <c r="AU16" s="211"/>
      <c r="AV16" s="211"/>
      <c r="AW16" s="211"/>
    </row>
    <row r="17" spans="1:49" x14ac:dyDescent="0.55000000000000004">
      <c r="B17" s="13"/>
      <c r="C17" s="167"/>
      <c r="D17" t="s">
        <v>23</v>
      </c>
      <c r="E17" s="116">
        <f>E4*(LDPE_LLDPE_MFA!F44+LDPE_LLDPE_MFA!F17)</f>
        <v>38.327148141235355</v>
      </c>
      <c r="F17" s="116">
        <f>E4*(LDPE_LLDPE_Scenario_MFA!F44+LDPE_LLDPE_Scenario_MFA!F17)</f>
        <v>322.0683380724891</v>
      </c>
      <c r="G17" s="116">
        <f>G4*(LDPE_LLDPE_MFA!F17)</f>
        <v>2.8650770514453296</v>
      </c>
      <c r="H17" s="116">
        <f>G4*(LDPE_LLDPE_Scenario_MFA!F44+LDPE_LLDPE_Scenario_MFA!F17)</f>
        <v>444.2321904448126</v>
      </c>
      <c r="I17" s="116">
        <f>I4*LDPE_LLDPE_MFA!F18</f>
        <v>13.279632133449102</v>
      </c>
      <c r="J17" s="116">
        <f>I4*LDPE_LLDPE_Scenario_MFA!O15</f>
        <v>1822.5277048450769</v>
      </c>
      <c r="K17" s="203">
        <f t="shared" si="0"/>
        <v>54.471857326129793</v>
      </c>
      <c r="L17" s="154">
        <f t="shared" si="0"/>
        <v>2588.8282333623783</v>
      </c>
      <c r="P17" t="s">
        <v>23</v>
      </c>
      <c r="Q17" s="116">
        <f>P4*LDPE_LLDPE_MFA!O12</f>
        <v>332.25907371349723</v>
      </c>
      <c r="R17" s="116">
        <f>P4*LDPE_LLDPE_Scenario_MFA!O12</f>
        <v>248.44546608243351</v>
      </c>
      <c r="S17" s="205">
        <f>R4*LDPE_LLDPE_MFA!O12</f>
        <v>59.331977448838792</v>
      </c>
      <c r="T17" s="205">
        <f>R4*LDPE_LLDPE_Scenario_MFA!O12</f>
        <v>44.365261800434553</v>
      </c>
      <c r="U17" s="205">
        <f>T4*LDPE_LLDPE_MFA!O13</f>
        <v>6.7971692915898343</v>
      </c>
      <c r="V17" s="205">
        <f>T4*LDPE_LLDPE_Scenario_MFA!O13</f>
        <v>5.0853590003642495</v>
      </c>
      <c r="W17" s="205">
        <f>V4*LDPE_LLDPE_MFA!O13</f>
        <v>1.2137802306410419</v>
      </c>
      <c r="X17" s="205">
        <f>V4*LDPE_LLDPE_Scenario_MFA!O13</f>
        <v>0.90809982149361601</v>
      </c>
      <c r="Y17" s="154">
        <f t="shared" si="1"/>
        <v>399.60200068456692</v>
      </c>
      <c r="Z17" s="154">
        <f t="shared" si="1"/>
        <v>298.80418670472591</v>
      </c>
      <c r="AA17" s="208"/>
      <c r="AB17" s="208"/>
      <c r="AC17" s="208"/>
      <c r="AE17" s="211"/>
      <c r="AF17" s="211"/>
      <c r="AG17" s="211"/>
      <c r="AH17" s="211"/>
      <c r="AI17" s="211"/>
      <c r="AJ17" s="211"/>
      <c r="AK17" s="211"/>
      <c r="AL17" s="211"/>
      <c r="AM17" s="211"/>
      <c r="AN17" s="211"/>
      <c r="AO17" s="211"/>
      <c r="AP17" s="211"/>
      <c r="AQ17" s="211"/>
      <c r="AR17" s="211"/>
      <c r="AS17" s="211"/>
      <c r="AT17" s="211"/>
      <c r="AU17" s="211"/>
      <c r="AV17" s="211"/>
      <c r="AW17" s="211"/>
    </row>
    <row r="18" spans="1:49" x14ac:dyDescent="0.55000000000000004">
      <c r="C18" s="167"/>
      <c r="D18" t="s">
        <v>2</v>
      </c>
      <c r="E18" s="116">
        <f>E4*(PP_MFA!G49+PP_MFA!G22)</f>
        <v>9.7080034267766209</v>
      </c>
      <c r="F18" s="116">
        <f>E4*(PP_Scenarios_MFA!G49+PP_Scenarios_MFA!G22)</f>
        <v>22.598236508609158</v>
      </c>
      <c r="G18" s="116">
        <f>G4*(PP_MFA!G22)</f>
        <v>1.3661299911267633</v>
      </c>
      <c r="H18" s="116">
        <f>G4*(PP_Scenarios_MFA!G49+PP_Scenarios_MFA!G22)</f>
        <v>31.169981391185051</v>
      </c>
      <c r="I18" s="116">
        <f>I4*PP_MFA!P15</f>
        <v>6.3320125088725474</v>
      </c>
      <c r="J18" s="116">
        <f>I4*PP_Scenarios_MFA!P15</f>
        <v>105.87766597229376</v>
      </c>
      <c r="K18" s="203">
        <f t="shared" si="0"/>
        <v>17.406145926775931</v>
      </c>
      <c r="L18" s="154">
        <f t="shared" si="0"/>
        <v>159.64588387208795</v>
      </c>
      <c r="P18" s="152" t="s">
        <v>2</v>
      </c>
      <c r="Q18" s="116">
        <f>P4*PP_MFA!P12</f>
        <v>147.73651284365712</v>
      </c>
      <c r="R18" s="116">
        <f>P4*PP_Scenarios_MFA!P12</f>
        <v>145.01721902614648</v>
      </c>
      <c r="S18" s="205">
        <f>R4*PP_MFA!P12</f>
        <v>26.381520150653056</v>
      </c>
      <c r="T18" s="205">
        <f>R4*PP_Scenarios_MFA!P12</f>
        <v>25.895931968954731</v>
      </c>
      <c r="U18" s="205">
        <f>T4*PP_MFA!P13</f>
        <v>3.0228373314525028</v>
      </c>
      <c r="V18" s="205">
        <f>T4*PP_Scenarios_MFA!P13</f>
        <v>2.9672252415680114</v>
      </c>
      <c r="W18" s="205">
        <f>V4*PP_MFA!P13</f>
        <v>0.53979238061651835</v>
      </c>
      <c r="X18" s="205">
        <f>V4*PP_Scenarios_MFA!P13</f>
        <v>0.52986165028000198</v>
      </c>
      <c r="Y18" s="154">
        <f t="shared" si="1"/>
        <v>177.6806627063792</v>
      </c>
      <c r="Z18" s="154">
        <f t="shared" si="1"/>
        <v>174.4102378869492</v>
      </c>
      <c r="AA18" s="208"/>
      <c r="AB18" s="208"/>
      <c r="AC18" s="208"/>
      <c r="AE18" s="211"/>
      <c r="AF18" s="211"/>
      <c r="AG18" s="211"/>
      <c r="AH18" s="211"/>
      <c r="AI18" s="211"/>
      <c r="AJ18" s="211"/>
      <c r="AK18" s="211"/>
      <c r="AL18" s="211"/>
      <c r="AM18" s="211"/>
      <c r="AN18" s="211"/>
      <c r="AO18" s="211"/>
      <c r="AP18" s="211"/>
      <c r="AQ18" s="211"/>
      <c r="AR18" s="211"/>
      <c r="AS18" s="211"/>
      <c r="AT18" s="211"/>
      <c r="AU18" s="211"/>
      <c r="AV18" s="211"/>
      <c r="AW18" s="211"/>
    </row>
    <row r="19" spans="1:49" x14ac:dyDescent="0.55000000000000004">
      <c r="A19" s="8"/>
      <c r="B19" s="116"/>
      <c r="C19" s="167"/>
      <c r="D19" s="10" t="s">
        <v>261</v>
      </c>
      <c r="E19" s="203">
        <f t="shared" ref="E19:J19" si="2">SUM(E15:E18)</f>
        <v>235.06437907005667</v>
      </c>
      <c r="F19" s="203">
        <f t="shared" si="2"/>
        <v>626.07744023657926</v>
      </c>
      <c r="G19" s="203">
        <f t="shared" si="2"/>
        <v>262.20255532125447</v>
      </c>
      <c r="H19" s="203">
        <f t="shared" si="2"/>
        <v>863.55508998148866</v>
      </c>
      <c r="I19" s="154">
        <f t="shared" si="2"/>
        <v>931.34360236131727</v>
      </c>
      <c r="J19" s="154">
        <f t="shared" si="2"/>
        <v>3318.2781339267344</v>
      </c>
      <c r="K19" s="154">
        <f>E19+G19+I19</f>
        <v>1428.6105367526284</v>
      </c>
      <c r="L19" s="154">
        <f>F19+H19+J19</f>
        <v>4807.9106641448025</v>
      </c>
      <c r="O19" s="8"/>
      <c r="P19" s="203" t="s">
        <v>261</v>
      </c>
      <c r="Q19" s="203">
        <f t="shared" ref="Q19:X19" si="3">SUM(Q15:Q18)</f>
        <v>673.59425484822566</v>
      </c>
      <c r="R19" s="203">
        <f t="shared" si="3"/>
        <v>561.54349626539727</v>
      </c>
      <c r="S19" s="203">
        <f t="shared" si="3"/>
        <v>120.28468836575459</v>
      </c>
      <c r="T19" s="203">
        <f t="shared" si="3"/>
        <v>100.27562433310666</v>
      </c>
      <c r="U19" s="203">
        <f t="shared" si="3"/>
        <v>13.78954074799271</v>
      </c>
      <c r="V19" s="203">
        <f t="shared" si="3"/>
        <v>11.501241128830813</v>
      </c>
      <c r="W19" s="203">
        <f t="shared" si="3"/>
        <v>2.462417990712984</v>
      </c>
      <c r="X19" s="203">
        <f t="shared" si="3"/>
        <v>2.0537930587197879</v>
      </c>
      <c r="Y19" s="154">
        <f t="shared" si="1"/>
        <v>810.13090195268603</v>
      </c>
      <c r="Z19" s="154">
        <f t="shared" si="1"/>
        <v>675.37415478605442</v>
      </c>
      <c r="AA19" s="208"/>
      <c r="AB19" s="208"/>
      <c r="AC19" s="208"/>
      <c r="AE19" s="211"/>
      <c r="AF19" s="211"/>
      <c r="AG19" s="211"/>
      <c r="AH19" s="211"/>
      <c r="AI19" s="211"/>
      <c r="AJ19" s="211"/>
      <c r="AK19" s="211"/>
      <c r="AL19" s="211"/>
      <c r="AM19" s="211"/>
      <c r="AN19" s="211"/>
      <c r="AO19" s="211"/>
      <c r="AP19" s="211"/>
      <c r="AQ19" s="211"/>
      <c r="AR19" s="211"/>
      <c r="AS19" s="211"/>
      <c r="AT19" s="211"/>
      <c r="AU19" s="211"/>
      <c r="AV19" s="211"/>
      <c r="AW19" s="211"/>
    </row>
    <row r="20" spans="1:49" x14ac:dyDescent="0.55000000000000004">
      <c r="B20" s="167"/>
      <c r="C20" s="167"/>
      <c r="D20" s="166"/>
      <c r="K20" s="208"/>
      <c r="L20" s="208"/>
      <c r="O20" s="208"/>
      <c r="Q20" t="s">
        <v>496</v>
      </c>
      <c r="R20" t="s">
        <v>489</v>
      </c>
      <c r="S20" t="s">
        <v>496</v>
      </c>
      <c r="T20" t="s">
        <v>489</v>
      </c>
      <c r="U20" t="s">
        <v>496</v>
      </c>
      <c r="V20" t="s">
        <v>489</v>
      </c>
      <c r="W20" t="s">
        <v>496</v>
      </c>
      <c r="X20" t="s">
        <v>489</v>
      </c>
      <c r="Y20" s="208"/>
      <c r="Z20" s="208"/>
      <c r="AA20" s="208"/>
      <c r="AB20" s="208"/>
      <c r="AC20" s="208"/>
      <c r="AE20" s="211"/>
      <c r="AF20" s="211"/>
      <c r="AG20" s="211"/>
      <c r="AH20" s="211"/>
      <c r="AI20" s="211"/>
      <c r="AJ20" s="211"/>
      <c r="AK20" s="211"/>
      <c r="AL20" s="211"/>
      <c r="AM20" s="211"/>
      <c r="AN20" s="211"/>
      <c r="AO20" s="211"/>
      <c r="AP20" s="211"/>
      <c r="AQ20" s="211"/>
      <c r="AR20" s="211"/>
      <c r="AS20" s="211"/>
      <c r="AT20" s="211"/>
      <c r="AU20" s="211"/>
      <c r="AV20" s="211"/>
      <c r="AW20" s="211"/>
    </row>
    <row r="21" spans="1:49" ht="28.8" x14ac:dyDescent="0.55000000000000004">
      <c r="A21" s="168"/>
      <c r="C21" s="167"/>
      <c r="D21" s="238" t="s">
        <v>442</v>
      </c>
      <c r="E21" s="301" t="s">
        <v>466</v>
      </c>
      <c r="F21" s="301"/>
      <c r="G21" s="301" t="s">
        <v>431</v>
      </c>
      <c r="H21" s="301"/>
      <c r="I21" s="301" t="s">
        <v>434</v>
      </c>
      <c r="J21" s="301"/>
      <c r="K21" s="301" t="s">
        <v>261</v>
      </c>
      <c r="L21" s="301"/>
      <c r="O21" s="208"/>
      <c r="P21" s="237" t="s">
        <v>442</v>
      </c>
      <c r="Q21" s="301" t="s">
        <v>437</v>
      </c>
      <c r="R21" s="301"/>
      <c r="S21" s="302" t="s">
        <v>275</v>
      </c>
      <c r="T21" s="302"/>
      <c r="U21" s="301" t="s">
        <v>438</v>
      </c>
      <c r="V21" s="301"/>
      <c r="W21" s="301" t="s">
        <v>436</v>
      </c>
      <c r="X21" s="301"/>
      <c r="Y21" s="301" t="s">
        <v>261</v>
      </c>
      <c r="Z21" s="301"/>
      <c r="AA21" s="208"/>
      <c r="AB21" s="208"/>
      <c r="AC21" s="208"/>
      <c r="AE21" s="211"/>
      <c r="AF21" s="211"/>
      <c r="AG21" s="211"/>
      <c r="AH21" s="211"/>
      <c r="AI21" s="211"/>
      <c r="AJ21" s="211"/>
      <c r="AK21" s="211"/>
      <c r="AL21" s="211"/>
      <c r="AM21" s="211"/>
      <c r="AN21" s="211"/>
      <c r="AO21" s="211"/>
      <c r="AP21" s="211"/>
      <c r="AQ21" s="211"/>
      <c r="AR21" s="211"/>
      <c r="AS21" s="211"/>
      <c r="AT21" s="211"/>
      <c r="AU21" s="211"/>
      <c r="AV21" s="211"/>
      <c r="AW21" s="211"/>
    </row>
    <row r="22" spans="1:49" x14ac:dyDescent="0.55000000000000004">
      <c r="B22" s="116"/>
      <c r="C22" s="167"/>
      <c r="D22" t="s">
        <v>3</v>
      </c>
      <c r="E22" s="116">
        <f>E10*(PET_MFA!I41+PET_MFA!I15)/10^6</f>
        <v>26.339979609318505</v>
      </c>
      <c r="F22" s="116">
        <f>E10*(PET_Scenario_MFA!I42+PET_Scenario_MFA!I15)/10^6</f>
        <v>39.505084775893259</v>
      </c>
      <c r="G22" s="116">
        <f>G10*(PET_MFA!I41+PET_MFA!I15)/10^6</f>
        <v>42.058446163017862</v>
      </c>
      <c r="H22" s="116">
        <f>G10*(PET_Scenario_MFA!I42+PET_Scenario_MFA!I15)/10^6</f>
        <v>63.079869683139485</v>
      </c>
      <c r="I22" s="116">
        <f>I10*PET_MFA!S14/10^6</f>
        <v>135.31869003805846</v>
      </c>
      <c r="J22" s="116">
        <f>I10*PET_Scenario_MFA!S14/10^6</f>
        <v>205.77349291793118</v>
      </c>
      <c r="K22" s="203">
        <f>E22+G22+I22</f>
        <v>203.71711581039483</v>
      </c>
      <c r="L22" s="154">
        <f>F22+H22+J22</f>
        <v>308.35844737696391</v>
      </c>
      <c r="O22" s="208"/>
      <c r="P22" t="s">
        <v>3</v>
      </c>
      <c r="Q22" s="227">
        <f>P10*(PET_MFA!S10)/10^6</f>
        <v>21.692412750639726</v>
      </c>
      <c r="R22" s="227">
        <f>P10*(PET_Scenario_MFA!S10)/10^6</f>
        <v>17.947366335393632</v>
      </c>
      <c r="S22" s="227">
        <f>R10*(PET_MFA!S10)/10^6</f>
        <v>1.8255950531278815</v>
      </c>
      <c r="T22" s="227">
        <f>R10*(PET_Scenario_MFA!S10)/10^6</f>
        <v>1.510418577002332</v>
      </c>
      <c r="U22" s="227">
        <f>T10*(PET_MFA!S11)/10^6</f>
        <v>0.44607922657079435</v>
      </c>
      <c r="V22" s="227">
        <f>T10*PET_Scenario_MFA!S11/10^6</f>
        <v>0.36964970789230267</v>
      </c>
      <c r="W22" s="4">
        <f>V10*(PET_MFA!S11)/10^6</f>
        <v>1.3089438906651063E-2</v>
      </c>
      <c r="X22" s="4">
        <f>V10*PET_Scenario_MFA!S11/10^6</f>
        <v>1.0846744210694193E-2</v>
      </c>
      <c r="Y22" s="154">
        <f t="shared" ref="Y22:Z26" si="4">Q22+S22+U22+W22</f>
        <v>23.977176469245052</v>
      </c>
      <c r="Z22" s="154">
        <f t="shared" si="4"/>
        <v>19.838281364498965</v>
      </c>
      <c r="AA22" s="208"/>
      <c r="AB22" s="208"/>
      <c r="AC22" s="208"/>
      <c r="AE22" s="211"/>
      <c r="AF22" s="211"/>
      <c r="AG22" s="211"/>
      <c r="AH22" s="211"/>
      <c r="AI22" s="211"/>
      <c r="AJ22" s="211"/>
      <c r="AK22" s="211"/>
      <c r="AL22" s="211"/>
      <c r="AM22" s="211"/>
      <c r="AN22" s="211"/>
      <c r="AO22" s="211"/>
      <c r="AP22" s="211"/>
      <c r="AQ22" s="211"/>
      <c r="AR22" s="211"/>
      <c r="AS22" s="211"/>
      <c r="AT22" s="211"/>
      <c r="AU22" s="211"/>
      <c r="AV22" s="211"/>
      <c r="AW22" s="211"/>
    </row>
    <row r="23" spans="1:49" x14ac:dyDescent="0.55000000000000004">
      <c r="C23" s="167"/>
      <c r="D23" s="152" t="s">
        <v>1</v>
      </c>
      <c r="E23" s="116">
        <f>E10*(HDPE_MFA!F64+HDPE_MFA!F29)/10^6</f>
        <v>24.049085608079466</v>
      </c>
      <c r="F23" s="116">
        <f>E10*(HDPE_Scenario_MFA!F64+HDPE_Scenario_MFA!F29)/10^6</f>
        <v>36.312105145630781</v>
      </c>
      <c r="G23" s="116">
        <f>G10*(HDPE_MFA!F64+HDPE_MFA!F29)/10^6</f>
        <v>38.400453884914278</v>
      </c>
      <c r="H23" s="116">
        <f>G10*(HDPE_Scenario_MFA!F64+HDPE_Scenario_MFA!F29)/10^6</f>
        <v>57.981469309606268</v>
      </c>
      <c r="I23" s="116">
        <f>I10*HDPE_MFA!O19/10^6</f>
        <v>110.90184856203966</v>
      </c>
      <c r="J23" s="116">
        <f>I10*HDPE_Scenario_MFA!O19/10^6</f>
        <v>169.57281080773922</v>
      </c>
      <c r="K23" s="203">
        <f>SUM(E23:I23)</f>
        <v>267.64496251027043</v>
      </c>
      <c r="L23" s="154">
        <f>F23+H23+J23</f>
        <v>263.86638526297628</v>
      </c>
      <c r="O23" s="208"/>
      <c r="P23" s="152" t="s">
        <v>1</v>
      </c>
      <c r="Q23" s="227">
        <f>P10*HDPE_MFA!O15/10^6</f>
        <v>30.466578936440527</v>
      </c>
      <c r="R23" s="227">
        <f>P10*HDPE_Scenario_MFA!O15/10^6</f>
        <v>27.336651934325353</v>
      </c>
      <c r="S23" s="227">
        <f>R10*HDPE_MFA!O15/10^6</f>
        <v>2.5640133456549541</v>
      </c>
      <c r="T23" s="227">
        <f>R10*HDPE_Scenario_MFA!O15/10^6</f>
        <v>2.3006042303390779</v>
      </c>
      <c r="U23" s="227">
        <f>T10*HDPE_MFA!O16/10^6</f>
        <v>0.62338524471150492</v>
      </c>
      <c r="V23" s="227">
        <f>T10*HDPE_Scenario_MFA!O16/10^6</f>
        <v>0.559480990594168</v>
      </c>
      <c r="W23" s="4">
        <f>V10*HDPE_MFA!O16/10^6</f>
        <v>1.8292183517906953E-2</v>
      </c>
      <c r="X23" s="4">
        <f>V10*HDPE_Scenario_MFA!O16/10^6</f>
        <v>1.641702148318433E-2</v>
      </c>
      <c r="Y23" s="154">
        <f t="shared" si="4"/>
        <v>33.672269710324898</v>
      </c>
      <c r="Z23" s="154">
        <f t="shared" si="4"/>
        <v>30.213154176741785</v>
      </c>
      <c r="AA23" s="208"/>
      <c r="AB23" s="208"/>
      <c r="AC23" s="208"/>
      <c r="AE23" s="211"/>
      <c r="AF23" s="211"/>
      <c r="AG23" s="211"/>
      <c r="AH23" s="211"/>
      <c r="AI23" s="211"/>
      <c r="AJ23" s="211"/>
      <c r="AK23" s="211"/>
      <c r="AL23" s="211"/>
      <c r="AM23" s="211"/>
      <c r="AN23" s="211"/>
      <c r="AO23" s="211"/>
      <c r="AP23" s="211"/>
      <c r="AQ23" s="211"/>
      <c r="AR23" s="211"/>
      <c r="AS23" s="211"/>
      <c r="AT23" s="211"/>
      <c r="AU23" s="211"/>
      <c r="AV23" s="211"/>
      <c r="AW23" s="211"/>
    </row>
    <row r="24" spans="1:49" x14ac:dyDescent="0.55000000000000004">
      <c r="C24" s="167"/>
      <c r="D24" t="s">
        <v>23</v>
      </c>
      <c r="E24" s="116">
        <f>E10*(LDPE_LLDPE_MFA!F44+LDPE_LLDPE_MFA!F17)/10^6</f>
        <v>10.326028680541217</v>
      </c>
      <c r="F24" s="116">
        <f>E10*(LDPE_LLDPE_Scenario_MFA!F44+LDPE_LLDPE_Scenario_MFA!F17)/10^6</f>
        <v>86.771050216823497</v>
      </c>
      <c r="G24" s="116">
        <f>G10*(LDPE_LLDPE_MFA!F17)/10^6</f>
        <v>0.89359128310185731</v>
      </c>
      <c r="H24" s="116">
        <f>G10*(LDPE_LLDPE_Scenario_MFA!F44+LDPE_LLDPE_Scenario_MFA!F17)/10^6</f>
        <v>138.55195023619888</v>
      </c>
      <c r="I24" s="116">
        <f>I10*LDPE_LLDPE_MFA!F18/10^6</f>
        <v>3.5862713252799749</v>
      </c>
      <c r="J24" s="116">
        <f>I10*LDPE_LLDPE_Scenario_MFA!O15/10^6</f>
        <v>492.18824600953889</v>
      </c>
      <c r="K24" s="203">
        <f>SUM(E24:I24)</f>
        <v>240.12889174194541</v>
      </c>
      <c r="L24" s="154">
        <f>F24+H24+J24</f>
        <v>717.5112464625613</v>
      </c>
      <c r="O24" s="208"/>
      <c r="P24" t="s">
        <v>23</v>
      </c>
      <c r="Q24" s="227">
        <f>P10*LDPE_LLDPE_MFA!O12/10^6</f>
        <v>89.516619183162774</v>
      </c>
      <c r="R24" s="227">
        <f>P10*LDPE_LLDPE_Scenario_MFA!O12/10^6</f>
        <v>66.935713527757116</v>
      </c>
      <c r="S24" s="227">
        <f>R10*LDPE_LLDPE_MFA!O12/10^6</f>
        <v>7.53356019139434</v>
      </c>
      <c r="T24" s="227">
        <f>R10*LDPE_LLDPE_Scenario_MFA!O12/10^6</f>
        <v>5.6331911483776622</v>
      </c>
      <c r="U24" s="227">
        <f>T10*LDPE_LLDPE_MFA!O13/10^6</f>
        <v>1.8312806575852991</v>
      </c>
      <c r="V24" s="227">
        <f>T10*LDPE_LLDPE_Scenario_MFA!O13/10^6</f>
        <v>1.370087925537919</v>
      </c>
      <c r="W24" s="4">
        <f>V10*LDPE_LLDPE_MFA!O13/10^6</f>
        <v>5.3735827316294824E-2</v>
      </c>
      <c r="X24" s="4">
        <f>V10*LDPE_LLDPE_Scenario_MFA!O13/10^6</f>
        <v>4.0202908205192428E-2</v>
      </c>
      <c r="Y24" s="154">
        <f t="shared" si="4"/>
        <v>98.935195859458702</v>
      </c>
      <c r="Z24" s="154">
        <f t="shared" si="4"/>
        <v>73.979195509877883</v>
      </c>
      <c r="AA24" s="208"/>
      <c r="AB24" s="208"/>
      <c r="AC24" s="208"/>
      <c r="AE24" s="211"/>
      <c r="AF24" s="211"/>
      <c r="AG24" s="211"/>
      <c r="AH24" s="211"/>
      <c r="AI24" s="211"/>
      <c r="AJ24" s="211"/>
      <c r="AK24" s="211"/>
      <c r="AL24" s="211"/>
      <c r="AM24" s="211"/>
      <c r="AN24" s="211"/>
      <c r="AO24" s="211"/>
      <c r="AP24" s="211"/>
      <c r="AQ24" s="211"/>
      <c r="AR24" s="211"/>
      <c r="AS24" s="211"/>
      <c r="AT24" s="211"/>
      <c r="AU24" s="211"/>
      <c r="AV24" s="211"/>
      <c r="AW24" s="211"/>
    </row>
    <row r="25" spans="1:49" x14ac:dyDescent="0.55000000000000004">
      <c r="C25" s="167"/>
      <c r="D25" s="152" t="s">
        <v>2</v>
      </c>
      <c r="E25" s="116">
        <f>E10*(PP_MFA!G49+PP_MFA!G22)/10^6</f>
        <v>2.615512154629533</v>
      </c>
      <c r="F25" s="116">
        <f>E10*(PP_Scenarios_MFA!G49+PP_Scenarios_MFA!G22)/10^6</f>
        <v>6.0883746804656065</v>
      </c>
      <c r="G25" s="116">
        <f>G10*(PP_MFA!G22)/10^6</f>
        <v>0.42608342803173904</v>
      </c>
      <c r="H25" s="116">
        <f>G10*(PP_Scenarios_MFA!G49+PP_Scenarios_MFA!G22)/10^6</f>
        <v>9.7216316229816915</v>
      </c>
      <c r="I25" s="116">
        <f>I10*PP_MFA!P15/10^6</f>
        <v>1.710010839433225</v>
      </c>
      <c r="J25" s="116">
        <f>I10*PP_Scenarios_MFA!P15/10^6</f>
        <v>28.593114150172457</v>
      </c>
      <c r="K25" s="203">
        <f>SUM(E25:I25)</f>
        <v>20.561612725541792</v>
      </c>
      <c r="L25" s="154">
        <f>F25+H25+J25</f>
        <v>44.403120453619756</v>
      </c>
      <c r="O25" s="208"/>
      <c r="P25" s="152" t="s">
        <v>2</v>
      </c>
      <c r="Q25" s="227">
        <f>P10*PP_MFA!P12/10^6</f>
        <v>39.802895408893278</v>
      </c>
      <c r="R25" s="227">
        <f>P10*PP_Scenarios_MFA!P12/10^6</f>
        <v>39.070268346557192</v>
      </c>
      <c r="S25" s="227">
        <f>R10*PP_MFA!P12/10^6</f>
        <v>3.3497412110830842</v>
      </c>
      <c r="T25" s="227">
        <f>R10*PP_Scenarios_MFA!P12/10^6</f>
        <v>3.2880846145503204</v>
      </c>
      <c r="U25" s="227">
        <f>T10*PP_MFA!P13/10^6</f>
        <v>0.81440718902867837</v>
      </c>
      <c r="V25" s="227">
        <f>T10*PP_Scenarios_MFA!P13/10^6</f>
        <v>0.79942428362136808</v>
      </c>
      <c r="W25" s="4">
        <f>V10*PP_MFA!P13/10^6</f>
        <v>2.3897398737613058E-2</v>
      </c>
      <c r="X25" s="4">
        <f>V10*PP_Scenarios_MFA!P13/10^6</f>
        <v>2.3457750770858894E-2</v>
      </c>
      <c r="Y25" s="154">
        <f t="shared" si="4"/>
        <v>43.990941207742651</v>
      </c>
      <c r="Z25" s="154">
        <f t="shared" si="4"/>
        <v>43.181234995499743</v>
      </c>
      <c r="AA25" s="208"/>
      <c r="AB25" s="208"/>
      <c r="AC25" s="208"/>
      <c r="AE25" s="211"/>
      <c r="AF25" s="211"/>
      <c r="AG25" s="211"/>
      <c r="AH25" s="211"/>
      <c r="AI25" s="211"/>
      <c r="AJ25" s="211"/>
      <c r="AK25" s="211"/>
      <c r="AL25" s="211"/>
      <c r="AM25" s="211"/>
      <c r="AN25" s="211"/>
      <c r="AO25" s="211"/>
      <c r="AP25" s="211"/>
      <c r="AQ25" s="211"/>
      <c r="AR25" s="211"/>
      <c r="AS25" s="211"/>
      <c r="AT25" s="211"/>
      <c r="AU25" s="211"/>
      <c r="AV25" s="211"/>
      <c r="AW25" s="211"/>
    </row>
    <row r="26" spans="1:49" x14ac:dyDescent="0.55000000000000004">
      <c r="A26" s="116"/>
      <c r="B26" s="116"/>
      <c r="C26" s="167"/>
      <c r="D26" s="10" t="s">
        <v>261</v>
      </c>
      <c r="E26" s="203">
        <f t="shared" ref="E26:J26" si="5">SUM(E22:E25)</f>
        <v>63.330606052568719</v>
      </c>
      <c r="F26" s="203">
        <f t="shared" si="5"/>
        <v>168.67661481881316</v>
      </c>
      <c r="G26" s="203">
        <f t="shared" si="5"/>
        <v>81.778574759065734</v>
      </c>
      <c r="H26" s="203">
        <f t="shared" si="5"/>
        <v>269.33492085192631</v>
      </c>
      <c r="I26" s="203">
        <f t="shared" si="5"/>
        <v>251.51682076481131</v>
      </c>
      <c r="J26" s="154">
        <f t="shared" si="5"/>
        <v>896.12766388538182</v>
      </c>
      <c r="K26" s="154">
        <f>E26+G26+I26</f>
        <v>396.62600157644579</v>
      </c>
      <c r="L26" s="154">
        <f>F26+H26+J26</f>
        <v>1334.1391995561212</v>
      </c>
      <c r="O26" s="208"/>
      <c r="P26" s="10" t="s">
        <v>261</v>
      </c>
      <c r="Q26" s="225">
        <f t="shared" ref="Q26:X26" si="6">SUM(Q22:Q25)</f>
        <v>181.4785062791363</v>
      </c>
      <c r="R26" s="225">
        <f>SUM(R22:R25)</f>
        <v>151.29000014403329</v>
      </c>
      <c r="S26" s="225">
        <f t="shared" si="6"/>
        <v>15.272909801260258</v>
      </c>
      <c r="T26" s="225">
        <f t="shared" si="6"/>
        <v>12.732298570269393</v>
      </c>
      <c r="U26" s="225">
        <f t="shared" si="6"/>
        <v>3.7151523178962771</v>
      </c>
      <c r="V26" s="225">
        <f t="shared" si="6"/>
        <v>3.0986429076457576</v>
      </c>
      <c r="W26" s="226">
        <f t="shared" si="6"/>
        <v>0.10901484847846589</v>
      </c>
      <c r="X26" s="225">
        <f t="shared" si="6"/>
        <v>9.0924424669929838E-2</v>
      </c>
      <c r="Y26" s="154">
        <f t="shared" si="4"/>
        <v>200.57558324677129</v>
      </c>
      <c r="Z26" s="154">
        <f t="shared" si="4"/>
        <v>167.21186604661838</v>
      </c>
      <c r="AA26" s="208"/>
      <c r="AB26" s="208"/>
      <c r="AC26" s="208"/>
      <c r="AE26" s="211"/>
      <c r="AF26" s="211"/>
      <c r="AG26" s="211"/>
      <c r="AH26" s="211"/>
      <c r="AI26" s="211"/>
      <c r="AJ26" s="211"/>
      <c r="AK26" s="211"/>
      <c r="AL26" s="211"/>
      <c r="AM26" s="211"/>
      <c r="AN26" s="211"/>
      <c r="AO26" s="211"/>
      <c r="AP26" s="211"/>
      <c r="AQ26" s="211"/>
      <c r="AR26" s="211"/>
      <c r="AS26" s="211"/>
      <c r="AT26" s="211"/>
      <c r="AU26" s="211"/>
      <c r="AV26" s="211"/>
      <c r="AW26" s="211"/>
    </row>
    <row r="27" spans="1:49" x14ac:dyDescent="0.55000000000000004">
      <c r="C27" s="167"/>
      <c r="F27" s="13"/>
      <c r="H27" s="13"/>
      <c r="I27" s="13"/>
      <c r="J27" s="13"/>
      <c r="K27" s="208"/>
      <c r="L27" s="208"/>
      <c r="O27" s="208"/>
      <c r="Y27" s="208"/>
      <c r="Z27" s="208"/>
      <c r="AA27" s="208"/>
      <c r="AB27" s="208"/>
      <c r="AC27" s="208"/>
      <c r="AE27" s="211"/>
      <c r="AF27" s="211"/>
      <c r="AG27" s="211"/>
      <c r="AH27" s="211"/>
      <c r="AI27" s="211"/>
      <c r="AJ27" s="211"/>
      <c r="AK27" s="211"/>
      <c r="AL27" s="211"/>
      <c r="AM27" s="211"/>
      <c r="AN27" s="211"/>
      <c r="AO27" s="211"/>
      <c r="AP27" s="211"/>
      <c r="AQ27" s="211"/>
      <c r="AR27" s="211"/>
      <c r="AS27" s="211"/>
      <c r="AT27" s="211"/>
      <c r="AU27" s="211"/>
      <c r="AV27" s="211"/>
      <c r="AW27" s="211"/>
    </row>
    <row r="28" spans="1:49" x14ac:dyDescent="0.55000000000000004">
      <c r="B28" s="7"/>
      <c r="C28" s="167"/>
      <c r="L28" s="13"/>
      <c r="O28" s="208"/>
      <c r="Q28" t="s">
        <v>496</v>
      </c>
      <c r="R28" t="s">
        <v>489</v>
      </c>
      <c r="S28" t="s">
        <v>496</v>
      </c>
      <c r="T28" t="s">
        <v>489</v>
      </c>
      <c r="U28" t="s">
        <v>496</v>
      </c>
      <c r="V28" t="s">
        <v>489</v>
      </c>
      <c r="W28" t="s">
        <v>496</v>
      </c>
      <c r="X28" t="s">
        <v>489</v>
      </c>
      <c r="Y28" s="116"/>
      <c r="Z28" s="116"/>
      <c r="AA28" s="208"/>
      <c r="AB28" s="208"/>
      <c r="AC28" s="208"/>
      <c r="AE28" s="211"/>
      <c r="AF28" s="211"/>
      <c r="AG28" s="211"/>
      <c r="AH28" s="211"/>
      <c r="AI28" s="211"/>
      <c r="AJ28" s="211"/>
      <c r="AK28" s="211"/>
      <c r="AL28" s="211"/>
      <c r="AM28" s="211"/>
      <c r="AN28" s="211"/>
      <c r="AO28" s="211"/>
      <c r="AP28" s="211"/>
      <c r="AQ28" s="211"/>
      <c r="AR28" s="211"/>
      <c r="AS28" s="211"/>
      <c r="AT28" s="211"/>
      <c r="AU28" s="211"/>
      <c r="AV28" s="211"/>
      <c r="AW28" s="211"/>
    </row>
    <row r="29" spans="1:49" ht="28.8" x14ac:dyDescent="0.55000000000000004">
      <c r="C29" s="167"/>
      <c r="D29" s="238" t="s">
        <v>441</v>
      </c>
      <c r="E29" s="301" t="s">
        <v>466</v>
      </c>
      <c r="F29" s="301"/>
      <c r="G29" s="301" t="s">
        <v>431</v>
      </c>
      <c r="H29" s="301"/>
      <c r="I29" s="301" t="s">
        <v>434</v>
      </c>
      <c r="J29" s="301"/>
      <c r="K29" s="301" t="s">
        <v>261</v>
      </c>
      <c r="L29" s="301"/>
      <c r="O29" s="208"/>
      <c r="P29" s="237" t="s">
        <v>441</v>
      </c>
      <c r="Q29" s="301" t="s">
        <v>437</v>
      </c>
      <c r="R29" s="301"/>
      <c r="S29" s="302" t="s">
        <v>275</v>
      </c>
      <c r="T29" s="302"/>
      <c r="U29" s="301" t="s">
        <v>438</v>
      </c>
      <c r="V29" s="301"/>
      <c r="W29" s="301" t="s">
        <v>436</v>
      </c>
      <c r="X29" s="301"/>
      <c r="Y29" s="237" t="s">
        <v>261</v>
      </c>
      <c r="Z29" s="237"/>
      <c r="AA29" s="208"/>
      <c r="AB29" s="208"/>
      <c r="AC29" s="208"/>
      <c r="AE29" s="211"/>
      <c r="AF29" s="211"/>
      <c r="AG29" s="211"/>
      <c r="AH29" s="211"/>
      <c r="AI29" s="211"/>
      <c r="AJ29" s="211"/>
      <c r="AK29" s="211"/>
      <c r="AL29" s="211"/>
      <c r="AM29" s="211"/>
      <c r="AN29" s="211"/>
      <c r="AO29" s="211"/>
      <c r="AP29" s="211"/>
      <c r="AQ29" s="211"/>
      <c r="AR29" s="211"/>
      <c r="AS29" s="211"/>
      <c r="AT29" s="211"/>
      <c r="AU29" s="211"/>
      <c r="AV29" s="211"/>
      <c r="AW29" s="211"/>
    </row>
    <row r="30" spans="1:49" x14ac:dyDescent="0.55000000000000004">
      <c r="B30" s="5"/>
      <c r="C30" s="167"/>
      <c r="D30" t="s">
        <v>3</v>
      </c>
      <c r="E30" s="192">
        <f>E11*(PET_MFA!I41+PET_MFA!I15)/10^6</f>
        <v>5.820989968910169</v>
      </c>
      <c r="F30" s="192">
        <f>E11*(PET_Scenario_MFA!I42+PET_Scenario_MFA!I15)/10^6</f>
        <v>8.7304054753355267</v>
      </c>
      <c r="G30" s="5">
        <f>G11*(PET_MFA!I41+PET_MFA!I15)/10^6</f>
        <v>6.1247612224894752</v>
      </c>
      <c r="H30" s="192">
        <f>G11*(PET_Scenario_MFA!I42+PET_Scenario_MFA!I15)/10^6</f>
        <v>9.186006022607188</v>
      </c>
      <c r="I30" s="116">
        <f>I11*PET_MFA!S14/10^6</f>
        <v>23.45085475947354</v>
      </c>
      <c r="J30" s="116">
        <f>I11*PET_Scenario_MFA!S14/10^6</f>
        <v>35.660737584813809</v>
      </c>
      <c r="K30" s="203">
        <f t="shared" ref="K30:L34" si="7">E30+G30+I30</f>
        <v>35.39660595087318</v>
      </c>
      <c r="L30" s="154">
        <f t="shared" si="7"/>
        <v>53.57714908275652</v>
      </c>
      <c r="O30" s="208"/>
      <c r="P30" t="s">
        <v>3</v>
      </c>
      <c r="Q30" s="192">
        <f>P11*(PET_MFA!S10)/10^6</f>
        <v>4.7939033703071203</v>
      </c>
      <c r="R30" s="192">
        <f>P11*(PET_Scenario_MFA!S10)/10^6</f>
        <v>3.9662688034019067</v>
      </c>
      <c r="S30" s="192">
        <f>R11*(PET_MFA!S10)/10^6</f>
        <v>0.38308364279731349</v>
      </c>
      <c r="T30" s="192">
        <f>R11*(PET_Scenario_MFA!S10)/10^6</f>
        <v>0.3169468769294787</v>
      </c>
      <c r="U30" s="5">
        <f>T11*(PET_MFA!S11)/10^6</f>
        <v>9.8581044546031893E-2</v>
      </c>
      <c r="V30" s="5">
        <f>T11*PET_Scenario_MFA!S11/10^6</f>
        <v>8.1690543180619371E-2</v>
      </c>
      <c r="W30" s="137">
        <f>V11*(PET_MFA!S11)/10^6</f>
        <v>2.7466934301456623E-3</v>
      </c>
      <c r="X30" s="137">
        <f>V11*PET_Scenario_MFA!S11/10^6</f>
        <v>2.2760854208079039E-3</v>
      </c>
      <c r="Y30" s="154">
        <f t="shared" ref="Y30:Z34" si="8">Q30+S30+U30+W30</f>
        <v>5.278314751080611</v>
      </c>
      <c r="Z30" s="154">
        <f t="shared" si="8"/>
        <v>4.3671823089328123</v>
      </c>
      <c r="AA30" s="208"/>
      <c r="AB30" s="208"/>
      <c r="AC30" s="208"/>
      <c r="AE30" s="211"/>
      <c r="AF30" s="211"/>
      <c r="AG30" s="211"/>
      <c r="AH30" s="211"/>
      <c r="AI30" s="211"/>
      <c r="AJ30" s="211"/>
      <c r="AK30" s="211"/>
      <c r="AL30" s="211"/>
      <c r="AM30" s="211"/>
      <c r="AN30" s="211"/>
      <c r="AO30" s="211"/>
      <c r="AP30" s="211"/>
      <c r="AQ30" s="211"/>
      <c r="AR30" s="211"/>
      <c r="AS30" s="211"/>
      <c r="AT30" s="211"/>
      <c r="AU30" s="211"/>
      <c r="AV30" s="211"/>
      <c r="AW30" s="211"/>
    </row>
    <row r="31" spans="1:49" x14ac:dyDescent="0.55000000000000004">
      <c r="C31" s="167"/>
      <c r="D31" s="152" t="s">
        <v>1</v>
      </c>
      <c r="E31" s="192">
        <f>E11*(HDPE_MFA!F64+HDPE_MFA!F29)/10^6</f>
        <v>5.3147150515092747</v>
      </c>
      <c r="F31" s="192">
        <f>E11*(HDPE_Scenario_MFA!F64+HDPE_Scenario_MFA!F29)/10^6</f>
        <v>8.0247746178189594</v>
      </c>
      <c r="G31" s="192">
        <f>G11*(HDPE_MFA!F64+HDPE_MFA!F29)/10^6</f>
        <v>5.5920660969906422</v>
      </c>
      <c r="H31" s="192">
        <f>G11*(HDPE_Scenario_MFA!F64+HDPE_Scenario_MFA!F29)/10^6</f>
        <v>8.4435514682114121</v>
      </c>
      <c r="I31" s="116">
        <f>I11*HDPE_MFA!O19/10^6</f>
        <v>19.219393436738571</v>
      </c>
      <c r="J31" s="116">
        <f>I11*HDPE_Scenario_MFA!O19/10^6</f>
        <v>29.387125727344458</v>
      </c>
      <c r="K31" s="203">
        <f t="shared" si="7"/>
        <v>30.126174585238488</v>
      </c>
      <c r="L31" s="154">
        <f t="shared" si="7"/>
        <v>45.855451813374827</v>
      </c>
      <c r="P31" s="152" t="s">
        <v>1</v>
      </c>
      <c r="Q31" s="192">
        <f>P11*HDPE_MFA!O15/10^6</f>
        <v>6.7329456213128234</v>
      </c>
      <c r="R31" s="192">
        <f>P11*HDPE_Scenario_MFA!O15/10^6</f>
        <v>6.0412490462597459</v>
      </c>
      <c r="S31" s="192">
        <f>R11*HDPE_MFA!O15/10^6</f>
        <v>0.53803365152174443</v>
      </c>
      <c r="T31" s="192">
        <f>R11*HDPE_Scenario_MFA!O15/10^6</f>
        <v>0.48275977067487574</v>
      </c>
      <c r="U31" s="5">
        <f>T11*HDPE_MFA!O16/10^6</f>
        <v>0.13776469496386848</v>
      </c>
      <c r="V31" s="5">
        <f>T11*HDPE_Scenario_MFA!O16/10^6</f>
        <v>0.12364220786611446</v>
      </c>
      <c r="W31" s="137">
        <f>V11*HDPE_MFA!O16/10^6</f>
        <v>3.8384395733054755E-3</v>
      </c>
      <c r="X31" s="137">
        <f>V11*HDPE_Scenario_MFA!O16/10^6</f>
        <v>3.4449547739979886E-3</v>
      </c>
      <c r="Y31" s="154">
        <f t="shared" si="8"/>
        <v>7.4125824073717421</v>
      </c>
      <c r="Z31" s="154">
        <f t="shared" si="8"/>
        <v>6.651095979574734</v>
      </c>
      <c r="AA31" s="208"/>
      <c r="AB31" s="208"/>
      <c r="AC31" s="208"/>
      <c r="AD31" s="220"/>
      <c r="AE31" s="211"/>
      <c r="AF31" s="211"/>
      <c r="AG31" s="211"/>
      <c r="AH31" s="211"/>
      <c r="AI31" s="211"/>
      <c r="AJ31" s="211"/>
      <c r="AK31" s="211"/>
      <c r="AL31" s="211"/>
      <c r="AM31" s="211"/>
      <c r="AN31" s="211"/>
      <c r="AO31" s="211"/>
      <c r="AP31" s="211"/>
      <c r="AQ31" s="211"/>
      <c r="AR31" s="211"/>
      <c r="AS31" s="211"/>
      <c r="AT31" s="211"/>
      <c r="AU31" s="211"/>
      <c r="AV31" s="211"/>
      <c r="AW31" s="211"/>
    </row>
    <row r="32" spans="1:49" x14ac:dyDescent="0.55000000000000004">
      <c r="B32" s="116"/>
      <c r="C32" s="167"/>
      <c r="D32" t="s">
        <v>23</v>
      </c>
      <c r="E32" s="192">
        <f>E11*(LDPE_LLDPE_MFA!F44+LDPE_LLDPE_MFA!F17)/10^6</f>
        <v>2.2819952885173964</v>
      </c>
      <c r="F32" s="192">
        <f>E11*(LDPE_LLDPE_Scenario_MFA!F44+LDPE_LLDPE_Scenario_MFA!F17)/10^6</f>
        <v>19.175922699850503</v>
      </c>
      <c r="G32" s="192">
        <f>G11*(LDPE_LLDPE_MFA!F17)/10^6</f>
        <v>0.13012923060170797</v>
      </c>
      <c r="H32" s="192">
        <f>G11*(LDPE_LLDPE_Scenario_MFA!F44+LDPE_LLDPE_Scenario_MFA!F17)/10^6</f>
        <v>20.176627753146459</v>
      </c>
      <c r="I32" s="116">
        <f>I11*LDPE_LLDPE_MFA!F18/10^6</f>
        <v>0.6215041540348335</v>
      </c>
      <c r="J32" s="116">
        <f>I11*LDPE_LLDPE_Scenario_MFA!O15/10^6</f>
        <v>85.29668051208202</v>
      </c>
      <c r="K32" s="203">
        <f t="shared" si="7"/>
        <v>3.0336286731539381</v>
      </c>
      <c r="L32" s="154">
        <f t="shared" si="7"/>
        <v>124.64923096507898</v>
      </c>
      <c r="P32" t="s">
        <v>23</v>
      </c>
      <c r="Q32" s="192">
        <f>P11*LDPE_LLDPE_MFA!O12/10^6</f>
        <v>19.782678272522158</v>
      </c>
      <c r="R32" s="192">
        <f>P11*LDPE_LLDPE_Scenario_MFA!O12/10^6</f>
        <v>14.792422879062345</v>
      </c>
      <c r="S32" s="192">
        <f>R11*LDPE_LLDPE_MFA!O12/10^6</f>
        <v>1.5808454763324826</v>
      </c>
      <c r="T32" s="192">
        <f>R11*LDPE_LLDPE_Scenario_MFA!O12/10^6</f>
        <v>1.1820712276781851</v>
      </c>
      <c r="U32" s="5">
        <f>T11*LDPE_LLDPE_MFA!O13/10^6</f>
        <v>0.40470290775365725</v>
      </c>
      <c r="V32" s="5">
        <f>T11*LDPE_LLDPE_Scenario_MFA!O13/10^6</f>
        <v>0.30278186199733009</v>
      </c>
      <c r="W32" s="137">
        <f>V11*LDPE_LLDPE_MFA!O13/10^6</f>
        <v>1.1275948870360802E-2</v>
      </c>
      <c r="X32" s="137">
        <f>V11*LDPE_LLDPE_Scenario_MFA!O13/10^6</f>
        <v>8.4361953653980925E-3</v>
      </c>
      <c r="Y32" s="154">
        <f t="shared" si="8"/>
        <v>21.779502605478655</v>
      </c>
      <c r="Z32" s="154">
        <f t="shared" si="8"/>
        <v>16.285712164103259</v>
      </c>
      <c r="AA32" s="208"/>
      <c r="AB32" s="208"/>
      <c r="AC32" s="208"/>
      <c r="AE32" s="211"/>
      <c r="AF32" s="211"/>
      <c r="AG32" s="211"/>
      <c r="AH32" s="211"/>
      <c r="AI32" s="211"/>
      <c r="AJ32" s="211"/>
      <c r="AK32" s="211"/>
      <c r="AL32" s="211"/>
      <c r="AM32" s="211"/>
      <c r="AN32" s="211"/>
      <c r="AO32" s="211"/>
      <c r="AP32" s="211"/>
      <c r="AQ32" s="211"/>
      <c r="AR32" s="211"/>
      <c r="AS32" s="211"/>
      <c r="AT32" s="211"/>
      <c r="AU32" s="211"/>
      <c r="AV32" s="211"/>
      <c r="AW32" s="211"/>
    </row>
    <row r="33" spans="1:49" x14ac:dyDescent="0.55000000000000004">
      <c r="B33" s="116"/>
      <c r="C33" s="167"/>
      <c r="D33" s="152" t="s">
        <v>2</v>
      </c>
      <c r="E33" s="192">
        <f>E11*(PP_MFA!G49+PP_MFA!G22)/10^6</f>
        <v>0.57801373582973126</v>
      </c>
      <c r="F33" s="192">
        <f>E11*(PP_Scenarios_MFA!G49+PP_Scenarios_MFA!G22)/10^6</f>
        <v>1.3454971669537255</v>
      </c>
      <c r="G33" s="192">
        <f>G11*(PP_MFA!G22)/10^6</f>
        <v>6.2048399207121997E-2</v>
      </c>
      <c r="H33" s="192">
        <f>G11*(PP_Scenarios_MFA!G49+PP_Scenarios_MFA!G22)/10^6</f>
        <v>1.415712605096709</v>
      </c>
      <c r="I33" s="116">
        <f>I11*PP_MFA!P15/10^6</f>
        <v>0.29634646789290897</v>
      </c>
      <c r="J33" s="116">
        <f>I11*PP_Scenarios_MFA!P15/10^6</f>
        <v>4.9552132589234663</v>
      </c>
      <c r="K33" s="203">
        <f t="shared" si="7"/>
        <v>0.93640860292976225</v>
      </c>
      <c r="L33" s="154">
        <f t="shared" si="7"/>
        <v>7.7164230309739006</v>
      </c>
      <c r="P33" s="152" t="s">
        <v>2</v>
      </c>
      <c r="Q33" s="192">
        <f>P11*PP_MFA!P12/10^6</f>
        <v>8.7962199798659171</v>
      </c>
      <c r="R33" s="192">
        <f>P11*PP_Scenarios_MFA!P12/10^6</f>
        <v>8.6343134467529694</v>
      </c>
      <c r="S33" s="192">
        <f>R11*PP_MFA!P12/10^6</f>
        <v>0.70291112115546639</v>
      </c>
      <c r="T33" s="192">
        <f>R11*PP_Scenarios_MFA!P12/10^6</f>
        <v>0.68997307470218172</v>
      </c>
      <c r="U33" s="5">
        <f>T11*PP_MFA!P13/10^6</f>
        <v>0.1799794892881057</v>
      </c>
      <c r="V33" s="5">
        <f>T11*PP_Scenarios_MFA!P13/10^6</f>
        <v>0.17666834997157305</v>
      </c>
      <c r="W33" s="137">
        <f>V11*PP_MFA!P13/10^6</f>
        <v>5.0146403202065704E-3</v>
      </c>
      <c r="X33" s="137">
        <f>V11*PP_Scenarios_MFA!P13/10^6</f>
        <v>4.9223844037786348E-3</v>
      </c>
      <c r="Y33" s="154">
        <f t="shared" si="8"/>
        <v>9.6841252306296965</v>
      </c>
      <c r="Z33" s="154">
        <f t="shared" si="8"/>
        <v>9.5058772558305034</v>
      </c>
      <c r="AA33" s="208"/>
      <c r="AB33" s="208"/>
      <c r="AC33" s="208"/>
      <c r="AE33" s="211"/>
      <c r="AF33" s="211"/>
      <c r="AG33" s="211"/>
      <c r="AH33" s="211"/>
      <c r="AI33" s="211"/>
      <c r="AJ33" s="211"/>
      <c r="AK33" s="211"/>
      <c r="AL33" s="211"/>
      <c r="AM33" s="211"/>
      <c r="AN33" s="211"/>
      <c r="AO33" s="211"/>
      <c r="AP33" s="211"/>
      <c r="AQ33" s="211"/>
      <c r="AR33" s="211"/>
      <c r="AS33" s="211"/>
      <c r="AT33" s="211"/>
      <c r="AU33" s="211"/>
      <c r="AV33" s="211"/>
      <c r="AW33" s="211"/>
    </row>
    <row r="34" spans="1:49" x14ac:dyDescent="0.55000000000000004">
      <c r="A34" s="265"/>
      <c r="B34" s="8"/>
      <c r="C34" s="167"/>
      <c r="D34" s="10" t="s">
        <v>261</v>
      </c>
      <c r="E34" s="225">
        <f t="shared" ref="E34:J34" si="9">SUM(E30:E33)</f>
        <v>13.995714044766572</v>
      </c>
      <c r="F34" s="203">
        <f t="shared" si="9"/>
        <v>37.276599959958716</v>
      </c>
      <c r="G34" s="225">
        <f t="shared" si="9"/>
        <v>11.909004949288947</v>
      </c>
      <c r="H34" s="203">
        <f t="shared" si="9"/>
        <v>39.221897849061769</v>
      </c>
      <c r="I34" s="225">
        <f t="shared" si="9"/>
        <v>43.588098818139855</v>
      </c>
      <c r="J34" s="203">
        <f t="shared" si="9"/>
        <v>155.29975708316377</v>
      </c>
      <c r="K34" s="154">
        <f t="shared" si="7"/>
        <v>69.492817812195369</v>
      </c>
      <c r="L34" s="154">
        <f t="shared" si="7"/>
        <v>231.79825489218425</v>
      </c>
      <c r="P34" s="10" t="s">
        <v>261</v>
      </c>
      <c r="Q34" s="225">
        <f t="shared" ref="Q34:X34" si="10">SUM(Q30:Q33)</f>
        <v>40.105747244008015</v>
      </c>
      <c r="R34" s="225">
        <f t="shared" si="10"/>
        <v>33.434254175476966</v>
      </c>
      <c r="S34" s="228">
        <f t="shared" si="10"/>
        <v>3.204873891807007</v>
      </c>
      <c r="T34" s="228">
        <f t="shared" si="10"/>
        <v>2.6717509499847214</v>
      </c>
      <c r="U34" s="228">
        <f t="shared" si="10"/>
        <v>0.82102813655166329</v>
      </c>
      <c r="V34" s="228">
        <f t="shared" si="10"/>
        <v>0.68478296301563701</v>
      </c>
      <c r="W34" s="229">
        <f t="shared" si="10"/>
        <v>2.2875722194018511E-2</v>
      </c>
      <c r="X34" s="229">
        <f t="shared" si="10"/>
        <v>1.9079619963982618E-2</v>
      </c>
      <c r="Y34" s="154">
        <f t="shared" si="8"/>
        <v>44.154524994560695</v>
      </c>
      <c r="Z34" s="154">
        <f t="shared" si="8"/>
        <v>36.809867708441303</v>
      </c>
      <c r="AA34" s="208"/>
      <c r="AB34" s="208"/>
      <c r="AC34" s="208"/>
      <c r="AE34" s="211"/>
      <c r="AF34" s="211"/>
      <c r="AG34" s="211"/>
      <c r="AH34" s="211"/>
      <c r="AI34" s="211"/>
      <c r="AJ34" s="211"/>
      <c r="AK34" s="211"/>
      <c r="AL34" s="211"/>
      <c r="AM34" s="211"/>
      <c r="AN34" s="211"/>
      <c r="AO34" s="211"/>
      <c r="AP34" s="211"/>
      <c r="AQ34" s="211"/>
      <c r="AR34" s="211"/>
      <c r="AS34" s="211"/>
      <c r="AT34" s="211"/>
      <c r="AU34" s="211"/>
      <c r="AV34" s="211"/>
      <c r="AW34" s="211"/>
    </row>
    <row r="35" spans="1:49" x14ac:dyDescent="0.55000000000000004">
      <c r="C35" s="167"/>
      <c r="K35" s="208"/>
      <c r="L35" s="208"/>
      <c r="Y35" s="208"/>
      <c r="Z35" s="208"/>
      <c r="AA35" s="208"/>
      <c r="AB35" s="208"/>
      <c r="AC35" s="208"/>
      <c r="AE35" s="211"/>
      <c r="AF35" s="211"/>
      <c r="AG35" s="211"/>
      <c r="AH35" s="211"/>
      <c r="AI35" s="211"/>
      <c r="AJ35" s="211"/>
      <c r="AK35" s="211"/>
      <c r="AL35" s="211"/>
      <c r="AM35" s="211"/>
      <c r="AN35" s="211"/>
      <c r="AO35" s="211"/>
      <c r="AP35" s="211"/>
      <c r="AQ35" s="211"/>
      <c r="AR35" s="211"/>
      <c r="AS35" s="211"/>
      <c r="AT35" s="211"/>
      <c r="AU35" s="211"/>
      <c r="AV35" s="211"/>
      <c r="AW35" s="211"/>
    </row>
    <row r="36" spans="1:49" x14ac:dyDescent="0.55000000000000004">
      <c r="E36" s="7"/>
      <c r="F36" s="7"/>
      <c r="G36" s="7"/>
      <c r="H36" s="7"/>
      <c r="I36" s="7"/>
      <c r="J36" s="7"/>
      <c r="K36" s="7"/>
      <c r="AE36" s="211"/>
      <c r="AF36" s="211"/>
      <c r="AG36" s="211"/>
      <c r="AH36" s="211"/>
      <c r="AI36" s="211"/>
      <c r="AJ36" s="211"/>
      <c r="AK36" s="211"/>
      <c r="AL36" s="211"/>
      <c r="AM36" s="211"/>
      <c r="AN36" s="211"/>
      <c r="AO36" s="211"/>
      <c r="AP36" s="211"/>
      <c r="AQ36" s="211"/>
      <c r="AR36" s="211"/>
      <c r="AS36" s="211"/>
      <c r="AT36" s="211"/>
      <c r="AU36" s="211"/>
      <c r="AV36" s="211"/>
      <c r="AW36" s="211"/>
    </row>
    <row r="37" spans="1:49" ht="28.8" customHeight="1" x14ac:dyDescent="0.55000000000000004">
      <c r="AC37" s="9"/>
      <c r="AE37" s="211"/>
      <c r="AF37" s="211"/>
      <c r="AG37" s="211"/>
      <c r="AH37" s="211"/>
      <c r="AI37" s="211"/>
      <c r="AJ37" s="211"/>
      <c r="AK37" s="211"/>
      <c r="AL37" s="211"/>
      <c r="AM37" s="211"/>
      <c r="AN37" s="211"/>
      <c r="AO37" s="211"/>
      <c r="AP37" s="211"/>
      <c r="AQ37" s="211"/>
      <c r="AR37" s="211"/>
      <c r="AS37" s="211"/>
      <c r="AT37" s="211"/>
      <c r="AU37" s="211"/>
      <c r="AV37" s="211"/>
      <c r="AW37" s="211"/>
    </row>
    <row r="38" spans="1:49" x14ac:dyDescent="0.55000000000000004">
      <c r="I38" s="7"/>
      <c r="AC38" s="192"/>
      <c r="AE38" s="211"/>
      <c r="AF38" s="211"/>
      <c r="AG38" s="211"/>
      <c r="AH38" s="211"/>
      <c r="AI38" s="211"/>
      <c r="AJ38" s="211"/>
      <c r="AK38" s="211"/>
      <c r="AL38" s="211"/>
      <c r="AM38" s="211"/>
      <c r="AN38" s="211"/>
      <c r="AO38" s="211"/>
      <c r="AP38" s="211"/>
      <c r="AQ38" s="211"/>
      <c r="AR38" s="211"/>
      <c r="AS38" s="211"/>
      <c r="AT38" s="211"/>
      <c r="AU38" s="211"/>
      <c r="AV38" s="211"/>
      <c r="AW38" s="211"/>
    </row>
    <row r="39" spans="1:49" x14ac:dyDescent="0.55000000000000004">
      <c r="I39" s="116"/>
      <c r="AC39" s="192"/>
      <c r="AE39" s="211"/>
      <c r="AF39" s="211"/>
      <c r="AG39" s="211"/>
      <c r="AH39" s="211"/>
      <c r="AI39" s="211"/>
      <c r="AJ39" s="211"/>
      <c r="AK39" s="211"/>
      <c r="AL39" s="211"/>
      <c r="AM39" s="211"/>
      <c r="AN39" s="211"/>
      <c r="AO39" s="211"/>
      <c r="AP39" s="211"/>
      <c r="AQ39" s="211"/>
      <c r="AR39" s="211"/>
      <c r="AS39" s="211"/>
      <c r="AT39" s="211"/>
      <c r="AU39" s="211"/>
      <c r="AV39" s="211"/>
      <c r="AW39" s="211"/>
    </row>
    <row r="40" spans="1:49" x14ac:dyDescent="0.55000000000000004">
      <c r="B40" s="296"/>
      <c r="C40" s="296"/>
      <c r="D40" s="296"/>
      <c r="F40" s="292" t="s">
        <v>563</v>
      </c>
      <c r="G40" s="292"/>
      <c r="H40" s="292"/>
      <c r="I40" s="116"/>
      <c r="AC40" s="5"/>
      <c r="AE40" s="211"/>
      <c r="AF40" s="211"/>
      <c r="AG40" s="211"/>
      <c r="AH40" s="211"/>
      <c r="AI40" s="211"/>
      <c r="AJ40" s="211"/>
      <c r="AK40" s="211"/>
      <c r="AL40" s="211"/>
      <c r="AM40" s="211"/>
      <c r="AN40" s="211"/>
      <c r="AO40" s="211"/>
      <c r="AP40" s="211"/>
      <c r="AQ40" s="211"/>
      <c r="AR40" s="211"/>
      <c r="AS40" s="211"/>
      <c r="AT40" s="211"/>
      <c r="AU40" s="211"/>
      <c r="AV40" s="211"/>
      <c r="AW40" s="211"/>
    </row>
    <row r="41" spans="1:49" x14ac:dyDescent="0.55000000000000004">
      <c r="B41" s="116"/>
      <c r="F41" t="s">
        <v>555</v>
      </c>
      <c r="G41" t="s">
        <v>553</v>
      </c>
      <c r="H41" t="s">
        <v>554</v>
      </c>
      <c r="AB41" s="4"/>
      <c r="AE41" s="211"/>
      <c r="AF41" s="211"/>
      <c r="AG41" s="211"/>
      <c r="AH41" s="211"/>
      <c r="AI41" s="211"/>
      <c r="AJ41" s="211"/>
      <c r="AK41" s="211"/>
      <c r="AL41" s="211"/>
      <c r="AM41" s="211"/>
      <c r="AN41" s="211"/>
      <c r="AO41" s="211"/>
      <c r="AP41" s="211"/>
      <c r="AQ41" s="211"/>
      <c r="AR41" s="211"/>
      <c r="AS41" s="211"/>
      <c r="AT41" s="211"/>
      <c r="AU41" s="211"/>
      <c r="AV41" s="211"/>
      <c r="AW41" s="211"/>
    </row>
    <row r="42" spans="1:49" x14ac:dyDescent="0.55000000000000004">
      <c r="B42" s="116"/>
      <c r="D42" s="13"/>
      <c r="E42" s="122" t="s">
        <v>406</v>
      </c>
      <c r="F42" s="201">
        <f>'NAICS Codes Data_2019'!G39</f>
        <v>1.733894176957363E-3</v>
      </c>
      <c r="G42" s="165">
        <f>'NAICS Codes Data_2019'!M39</f>
        <v>190.61641751734339</v>
      </c>
      <c r="H42" s="131">
        <f>'NAICS Codes Data_2019'!J39</f>
        <v>3117.8613212848536</v>
      </c>
      <c r="AB42" s="118"/>
      <c r="AE42" s="211"/>
      <c r="AF42" s="211"/>
      <c r="AG42" s="211"/>
      <c r="AH42" s="211"/>
      <c r="AI42" s="211"/>
      <c r="AJ42" s="211"/>
      <c r="AK42" s="211"/>
      <c r="AL42" s="211"/>
      <c r="AM42" s="211"/>
      <c r="AN42" s="211"/>
      <c r="AO42" s="211"/>
      <c r="AP42" s="211"/>
      <c r="AQ42" s="211"/>
      <c r="AR42" s="211"/>
      <c r="AS42" s="211"/>
      <c r="AT42" s="211"/>
      <c r="AU42" s="211"/>
      <c r="AV42" s="211"/>
      <c r="AW42" s="211"/>
    </row>
    <row r="43" spans="1:49" x14ac:dyDescent="0.55000000000000004">
      <c r="B43" s="116"/>
      <c r="E43" t="s">
        <v>556</v>
      </c>
      <c r="F43" s="201">
        <f>E4+G4</f>
        <v>3.8029694999999995E-3</v>
      </c>
      <c r="G43" s="165">
        <f>E8+G8</f>
        <v>231.75456524917342</v>
      </c>
      <c r="H43" s="188">
        <f>E7+G7</f>
        <v>1331.5284795034854</v>
      </c>
      <c r="I43" s="7"/>
      <c r="AB43" s="118"/>
      <c r="AE43" s="211"/>
      <c r="AF43" s="211"/>
      <c r="AG43" s="211"/>
      <c r="AH43" s="211"/>
      <c r="AI43" s="211"/>
      <c r="AJ43" s="211"/>
      <c r="AK43" s="211"/>
      <c r="AL43" s="211"/>
      <c r="AM43" s="211"/>
      <c r="AN43" s="211"/>
      <c r="AO43" s="211"/>
      <c r="AP43" s="211"/>
      <c r="AQ43" s="211"/>
      <c r="AR43" s="211"/>
      <c r="AS43" s="211"/>
      <c r="AT43" s="211"/>
      <c r="AU43" s="211"/>
      <c r="AV43" s="211"/>
      <c r="AW43" s="211"/>
    </row>
    <row r="44" spans="1:49" x14ac:dyDescent="0.55000000000000004">
      <c r="D44" s="122"/>
      <c r="F44" s="192"/>
      <c r="G44" s="192"/>
      <c r="H44" s="192"/>
      <c r="AB44" s="118"/>
      <c r="AC44" s="192"/>
      <c r="AE44" s="211"/>
      <c r="AF44" s="211"/>
      <c r="AG44" s="211"/>
      <c r="AH44" s="211"/>
      <c r="AI44" s="211"/>
      <c r="AJ44" s="211"/>
      <c r="AK44" s="211"/>
      <c r="AL44" s="211"/>
      <c r="AM44" s="211"/>
      <c r="AN44" s="211"/>
      <c r="AO44" s="211"/>
      <c r="AP44" s="211"/>
      <c r="AQ44" s="211"/>
      <c r="AR44" s="211"/>
      <c r="AS44" s="211"/>
      <c r="AT44" s="211"/>
      <c r="AU44" s="211"/>
      <c r="AV44" s="211"/>
      <c r="AW44" s="211"/>
    </row>
    <row r="45" spans="1:49" x14ac:dyDescent="0.55000000000000004">
      <c r="AB45" s="118"/>
      <c r="AC45" s="192"/>
      <c r="AE45" s="211"/>
      <c r="AF45" s="211"/>
      <c r="AG45" s="211"/>
      <c r="AH45" s="211"/>
      <c r="AI45" s="211"/>
      <c r="AJ45" s="211"/>
      <c r="AK45" s="211"/>
      <c r="AL45" s="211"/>
      <c r="AM45" s="211"/>
      <c r="AN45" s="211"/>
      <c r="AO45" s="211"/>
      <c r="AP45" s="211"/>
      <c r="AQ45" s="211"/>
      <c r="AR45" s="211"/>
      <c r="AS45" s="211"/>
      <c r="AT45" s="211"/>
      <c r="AU45" s="211"/>
      <c r="AV45" s="211"/>
      <c r="AW45" s="211"/>
    </row>
    <row r="46" spans="1:49" x14ac:dyDescent="0.55000000000000004">
      <c r="F46" s="168"/>
      <c r="AB46" s="118"/>
      <c r="AC46" s="1"/>
      <c r="AI46" s="116"/>
      <c r="AJ46" s="116"/>
      <c r="AK46" s="8"/>
    </row>
    <row r="47" spans="1:49" x14ac:dyDescent="0.55000000000000004">
      <c r="E47" s="152"/>
      <c r="F47" s="166"/>
      <c r="AB47" s="118"/>
      <c r="AH47" s="10"/>
      <c r="AI47" s="154"/>
      <c r="AJ47" s="154"/>
      <c r="AK47" s="154"/>
    </row>
    <row r="48" spans="1:49" x14ac:dyDescent="0.55000000000000004">
      <c r="AB48" s="118"/>
    </row>
    <row r="49" spans="3:38" x14ac:dyDescent="0.55000000000000004">
      <c r="D49" s="296"/>
      <c r="E49" s="296"/>
      <c r="F49" s="296"/>
      <c r="G49" s="296"/>
      <c r="AB49" s="118"/>
    </row>
    <row r="50" spans="3:38" x14ac:dyDescent="0.55000000000000004">
      <c r="AB50" s="118"/>
      <c r="AH50" s="296"/>
      <c r="AI50" s="296"/>
    </row>
    <row r="51" spans="3:38" x14ac:dyDescent="0.55000000000000004">
      <c r="C51" s="296"/>
      <c r="E51" s="137"/>
      <c r="F51" s="137"/>
      <c r="AB51" s="118"/>
    </row>
    <row r="52" spans="3:38" x14ac:dyDescent="0.55000000000000004">
      <c r="C52" s="296"/>
      <c r="E52" s="168"/>
      <c r="F52" s="137"/>
      <c r="AB52" s="118"/>
      <c r="AH52" s="8"/>
      <c r="AI52" s="8"/>
      <c r="AK52" s="8"/>
    </row>
    <row r="53" spans="3:38" x14ac:dyDescent="0.55000000000000004">
      <c r="E53" s="137"/>
      <c r="F53" s="137"/>
      <c r="AB53" s="118"/>
      <c r="AF53" s="8"/>
      <c r="AH53" s="116"/>
      <c r="AI53" s="116"/>
      <c r="AK53" s="116"/>
    </row>
    <row r="54" spans="3:38" x14ac:dyDescent="0.55000000000000004">
      <c r="E54" s="296"/>
      <c r="F54" s="296"/>
      <c r="G54" s="296"/>
      <c r="AB54" s="118"/>
      <c r="AI54" s="116"/>
      <c r="AJ54" s="116"/>
      <c r="AK54" s="116"/>
      <c r="AL54" s="116"/>
    </row>
    <row r="55" spans="3:38" x14ac:dyDescent="0.55000000000000004">
      <c r="AB55" s="118"/>
      <c r="AI55" s="116"/>
      <c r="AK55" s="116"/>
    </row>
    <row r="56" spans="3:38" x14ac:dyDescent="0.55000000000000004">
      <c r="E56" s="116"/>
      <c r="F56" s="116"/>
      <c r="R56" s="118"/>
      <c r="S56" s="118"/>
      <c r="T56" s="118"/>
      <c r="U56" s="118"/>
      <c r="V56" s="118"/>
      <c r="W56" s="118"/>
      <c r="X56" s="118"/>
      <c r="Y56" s="118"/>
      <c r="Z56" s="118"/>
      <c r="AA56" s="118"/>
      <c r="AB56" s="118"/>
      <c r="AI56" s="8"/>
      <c r="AK56" s="8"/>
    </row>
    <row r="57" spans="3:38" x14ac:dyDescent="0.55000000000000004">
      <c r="E57" s="116"/>
      <c r="F57" s="116"/>
      <c r="R57" s="118"/>
      <c r="S57" s="118"/>
      <c r="T57" s="118"/>
      <c r="U57" s="118"/>
      <c r="V57" s="118"/>
      <c r="W57" s="118"/>
      <c r="X57" s="118"/>
      <c r="Y57" s="118"/>
      <c r="Z57" s="118"/>
      <c r="AA57" s="118"/>
      <c r="AB57" s="118"/>
      <c r="AH57" s="8"/>
      <c r="AI57" s="8"/>
    </row>
    <row r="58" spans="3:38" x14ac:dyDescent="0.55000000000000004">
      <c r="E58" s="116"/>
      <c r="F58" s="116"/>
      <c r="R58" s="118"/>
      <c r="S58" s="118"/>
      <c r="T58" s="118"/>
      <c r="U58" s="118"/>
      <c r="V58" s="118"/>
      <c r="W58" s="118"/>
      <c r="X58" s="118"/>
      <c r="Y58" s="118"/>
      <c r="Z58" s="118"/>
      <c r="AA58" s="118"/>
      <c r="AB58" s="118"/>
      <c r="AH58" s="297"/>
      <c r="AI58" s="297"/>
      <c r="AJ58" s="116"/>
    </row>
    <row r="59" spans="3:38" x14ac:dyDescent="0.55000000000000004">
      <c r="R59" s="118"/>
      <c r="S59" s="118"/>
      <c r="T59" s="118"/>
      <c r="U59" s="118"/>
      <c r="V59" s="118"/>
      <c r="W59" s="118"/>
      <c r="X59" s="118"/>
      <c r="Y59" s="118"/>
      <c r="Z59" s="118"/>
      <c r="AA59" s="118"/>
      <c r="AB59" s="118"/>
    </row>
    <row r="60" spans="3:38" x14ac:dyDescent="0.55000000000000004">
      <c r="E60" s="296"/>
      <c r="F60" s="296"/>
      <c r="G60" s="296"/>
      <c r="R60" s="118"/>
      <c r="S60" s="118"/>
      <c r="T60" s="118"/>
      <c r="U60" s="118"/>
      <c r="V60" s="118"/>
      <c r="W60" s="118"/>
      <c r="X60" s="118"/>
      <c r="Y60" s="118"/>
      <c r="Z60" s="118"/>
      <c r="AA60" s="118"/>
      <c r="AB60" s="118"/>
      <c r="AH60" s="296"/>
      <c r="AI60" s="296"/>
    </row>
    <row r="61" spans="3:38" x14ac:dyDescent="0.55000000000000004">
      <c r="R61" s="118"/>
      <c r="S61" s="118"/>
      <c r="T61" s="118"/>
      <c r="U61" s="118"/>
      <c r="V61" s="118"/>
      <c r="W61" s="118"/>
      <c r="X61" s="118"/>
      <c r="Y61" s="118"/>
      <c r="Z61" s="118"/>
      <c r="AA61" s="118"/>
      <c r="AB61" s="118"/>
    </row>
    <row r="62" spans="3:38" x14ac:dyDescent="0.55000000000000004">
      <c r="E62" s="116"/>
      <c r="F62" s="8"/>
      <c r="R62" s="118"/>
      <c r="S62" s="118"/>
      <c r="T62" s="118"/>
      <c r="U62" s="118"/>
      <c r="V62" s="118"/>
      <c r="W62" s="118"/>
      <c r="X62" s="118"/>
      <c r="Y62" s="118"/>
      <c r="Z62" s="118"/>
      <c r="AA62" s="118"/>
      <c r="AB62" s="118"/>
      <c r="AF62" s="8"/>
      <c r="AH62" s="8"/>
      <c r="AI62" s="8"/>
      <c r="AK62" s="8"/>
    </row>
    <row r="63" spans="3:38" x14ac:dyDescent="0.55000000000000004">
      <c r="E63" s="116"/>
      <c r="F63" s="8"/>
      <c r="R63" s="118"/>
      <c r="S63" s="118"/>
      <c r="T63" s="118"/>
      <c r="U63" s="118"/>
      <c r="V63" s="118"/>
      <c r="W63" s="118"/>
      <c r="X63" s="118"/>
      <c r="Y63" s="118"/>
      <c r="Z63" s="118"/>
      <c r="AA63" s="118"/>
      <c r="AB63" s="118"/>
      <c r="AH63" s="116"/>
      <c r="AI63" s="116"/>
      <c r="AJ63" s="116"/>
      <c r="AK63" s="116"/>
      <c r="AL63" s="116"/>
    </row>
    <row r="64" spans="3:38" x14ac:dyDescent="0.55000000000000004">
      <c r="E64" s="116"/>
      <c r="F64" s="8"/>
      <c r="R64" s="118"/>
      <c r="S64" s="118"/>
      <c r="T64" s="118"/>
      <c r="U64" s="118"/>
      <c r="V64" s="118"/>
      <c r="W64" s="118"/>
      <c r="X64" s="118"/>
      <c r="Y64" s="118"/>
      <c r="Z64" s="118"/>
      <c r="AA64" s="118"/>
      <c r="AB64" s="118"/>
      <c r="AI64" s="116"/>
      <c r="AK64" s="116"/>
      <c r="AL64" s="116"/>
    </row>
    <row r="65" spans="1:37" x14ac:dyDescent="0.55000000000000004">
      <c r="AI65" s="116"/>
    </row>
    <row r="66" spans="1:37" x14ac:dyDescent="0.55000000000000004">
      <c r="AH66" s="8"/>
      <c r="AI66" s="8"/>
      <c r="AK66" s="8"/>
    </row>
    <row r="67" spans="1:37" x14ac:dyDescent="0.55000000000000004">
      <c r="AH67" s="8"/>
      <c r="AI67" s="8"/>
    </row>
    <row r="68" spans="1:37" x14ac:dyDescent="0.55000000000000004">
      <c r="L68" s="116"/>
      <c r="AH68" s="297"/>
      <c r="AI68" s="297"/>
    </row>
    <row r="69" spans="1:37" x14ac:dyDescent="0.55000000000000004">
      <c r="B69" s="292" t="s">
        <v>473</v>
      </c>
      <c r="C69" s="292"/>
      <c r="D69" s="292"/>
      <c r="E69" s="292"/>
      <c r="F69" s="292"/>
      <c r="G69" s="292"/>
      <c r="H69" s="292"/>
      <c r="I69" s="292"/>
      <c r="J69" s="292"/>
      <c r="K69" s="292"/>
      <c r="L69" s="292"/>
      <c r="O69" s="292" t="s">
        <v>568</v>
      </c>
      <c r="P69" s="292"/>
      <c r="Q69" s="292"/>
      <c r="R69" s="292"/>
      <c r="S69" s="292"/>
      <c r="T69" s="292"/>
      <c r="U69" s="292"/>
      <c r="V69" s="292"/>
      <c r="W69" s="292"/>
      <c r="X69" s="292"/>
      <c r="Y69" s="292"/>
    </row>
    <row r="70" spans="1:37" x14ac:dyDescent="0.55000000000000004">
      <c r="B70" s="292" t="s">
        <v>443</v>
      </c>
      <c r="C70" s="292"/>
      <c r="D70" s="292"/>
      <c r="E70" s="292"/>
      <c r="F70" s="292"/>
      <c r="G70" s="292"/>
      <c r="H70" s="292"/>
      <c r="I70" s="292"/>
      <c r="J70" s="292"/>
      <c r="K70" s="292"/>
      <c r="L70" s="292"/>
      <c r="O70" s="292" t="s">
        <v>443</v>
      </c>
      <c r="P70" s="292"/>
      <c r="Q70" s="292"/>
      <c r="R70" s="292"/>
      <c r="S70" s="292"/>
      <c r="T70" s="292"/>
      <c r="U70" s="292"/>
      <c r="V70" s="292"/>
      <c r="W70" s="292"/>
      <c r="X70" s="292"/>
      <c r="Y70" s="292"/>
      <c r="AH70" s="296"/>
      <c r="AI70" s="296"/>
    </row>
    <row r="71" spans="1:37" x14ac:dyDescent="0.55000000000000004">
      <c r="B71" s="10"/>
      <c r="C71" s="292" t="s">
        <v>3</v>
      </c>
      <c r="D71" s="292"/>
      <c r="E71" s="292" t="s">
        <v>1</v>
      </c>
      <c r="F71" s="292"/>
      <c r="G71" s="292" t="s">
        <v>23</v>
      </c>
      <c r="H71" s="292"/>
      <c r="I71" s="292" t="s">
        <v>2</v>
      </c>
      <c r="J71" s="292"/>
      <c r="K71" s="292" t="s">
        <v>261</v>
      </c>
      <c r="L71" s="292"/>
      <c r="O71" s="10"/>
      <c r="P71" s="292" t="s">
        <v>3</v>
      </c>
      <c r="Q71" s="292"/>
      <c r="R71" s="292" t="s">
        <v>1</v>
      </c>
      <c r="S71" s="292"/>
      <c r="T71" s="292" t="s">
        <v>23</v>
      </c>
      <c r="U71" s="292"/>
      <c r="V71" s="292" t="s">
        <v>2</v>
      </c>
      <c r="W71" s="292"/>
      <c r="X71" s="292" t="s">
        <v>261</v>
      </c>
      <c r="Y71" s="292"/>
      <c r="AA71" s="292" t="s">
        <v>569</v>
      </c>
      <c r="AB71" s="292"/>
    </row>
    <row r="72" spans="1:37" x14ac:dyDescent="0.55000000000000004">
      <c r="C72" s="1" t="s">
        <v>497</v>
      </c>
      <c r="D72" s="1" t="s">
        <v>489</v>
      </c>
      <c r="E72" s="1" t="s">
        <v>497</v>
      </c>
      <c r="F72" s="1" t="s">
        <v>489</v>
      </c>
      <c r="G72" s="1" t="s">
        <v>497</v>
      </c>
      <c r="H72" s="1" t="s">
        <v>489</v>
      </c>
      <c r="I72" s="1" t="s">
        <v>497</v>
      </c>
      <c r="J72" s="1" t="s">
        <v>489</v>
      </c>
      <c r="K72" s="1" t="s">
        <v>497</v>
      </c>
      <c r="L72" s="1" t="s">
        <v>489</v>
      </c>
      <c r="P72" s="1" t="s">
        <v>497</v>
      </c>
      <c r="Q72" s="1" t="s">
        <v>489</v>
      </c>
      <c r="R72" s="1" t="s">
        <v>497</v>
      </c>
      <c r="S72" s="1" t="s">
        <v>489</v>
      </c>
      <c r="T72" s="1" t="s">
        <v>497</v>
      </c>
      <c r="U72" s="1" t="s">
        <v>489</v>
      </c>
      <c r="V72" s="1" t="s">
        <v>497</v>
      </c>
      <c r="W72" s="1" t="s">
        <v>489</v>
      </c>
      <c r="X72" s="1" t="s">
        <v>497</v>
      </c>
      <c r="Y72" s="1" t="s">
        <v>489</v>
      </c>
      <c r="AA72" s="9" t="s">
        <v>497</v>
      </c>
      <c r="AB72" s="9" t="s">
        <v>489</v>
      </c>
      <c r="AF72" s="8"/>
      <c r="AH72" s="8"/>
      <c r="AI72" s="8"/>
      <c r="AK72" s="8"/>
    </row>
    <row r="73" spans="1:37" x14ac:dyDescent="0.55000000000000004">
      <c r="A73" s="13"/>
      <c r="B73" s="2" t="s">
        <v>433</v>
      </c>
      <c r="C73" s="116">
        <f>E15</f>
        <v>97.766172432377587</v>
      </c>
      <c r="D73" s="116">
        <f>F15</f>
        <v>146.63112832438532</v>
      </c>
      <c r="E73" s="116">
        <f>E16</f>
        <v>89.263055069667132</v>
      </c>
      <c r="F73" s="116">
        <f>F16</f>
        <v>134.77973733109567</v>
      </c>
      <c r="G73" s="116">
        <f>E17</f>
        <v>38.327148141235355</v>
      </c>
      <c r="H73" s="116">
        <f>F17</f>
        <v>322.0683380724891</v>
      </c>
      <c r="I73" s="116">
        <f>E18</f>
        <v>9.7080034267766209</v>
      </c>
      <c r="J73" s="116">
        <f>F18</f>
        <v>22.598236508609158</v>
      </c>
      <c r="K73" s="116">
        <f>C73+E73+G73+I73</f>
        <v>235.06437907005667</v>
      </c>
      <c r="L73" s="116">
        <f>D73+F73+H73+J73</f>
        <v>626.07744023657926</v>
      </c>
      <c r="O73" s="2" t="s">
        <v>433</v>
      </c>
      <c r="P73" s="116">
        <f>Q15+U15</f>
        <v>82.171499604010918</v>
      </c>
      <c r="Q73" s="116">
        <f>R15+V15</f>
        <v>67.987317207374701</v>
      </c>
      <c r="R73" s="116">
        <f>Q16+U16</f>
        <v>115.3967028120108</v>
      </c>
      <c r="S73" s="116">
        <f>R16+V16</f>
        <v>103.54215083634116</v>
      </c>
      <c r="T73" s="116">
        <f>Q17+U17</f>
        <v>339.05624300508708</v>
      </c>
      <c r="U73" s="116">
        <f>R17+V17</f>
        <v>253.53082508279778</v>
      </c>
      <c r="V73" s="116">
        <f>Q18+U18</f>
        <v>150.75935017510963</v>
      </c>
      <c r="W73" s="116">
        <f>R18+V18</f>
        <v>147.98444426771448</v>
      </c>
      <c r="X73" s="116">
        <f t="shared" ref="X73:Y76" si="11">P73+R73+T73+V73</f>
        <v>687.38379559621842</v>
      </c>
      <c r="Y73" s="116">
        <f t="shared" si="11"/>
        <v>573.04473739422815</v>
      </c>
      <c r="AA73" s="116">
        <f>K73+X73</f>
        <v>922.44817466627512</v>
      </c>
      <c r="AB73" s="116">
        <f>L73+Y73</f>
        <v>1199.1221776308075</v>
      </c>
      <c r="AC73" s="116"/>
      <c r="AE73" s="116"/>
      <c r="AH73" s="116"/>
      <c r="AI73" s="116"/>
      <c r="AK73" s="8"/>
    </row>
    <row r="74" spans="1:37" ht="28.8" x14ac:dyDescent="0.55000000000000004">
      <c r="A74" s="13"/>
      <c r="B74" s="181" t="s">
        <v>565</v>
      </c>
      <c r="C74" s="116">
        <f>G15</f>
        <v>134.849893010176</v>
      </c>
      <c r="D74" s="116">
        <f>H15</f>
        <v>202.249832171566</v>
      </c>
      <c r="E74" s="116">
        <f>G16</f>
        <v>123.12145526850641</v>
      </c>
      <c r="F74" s="116">
        <f>H16</f>
        <v>185.9030859739251</v>
      </c>
      <c r="G74" s="116">
        <f>G17</f>
        <v>2.8650770514453296</v>
      </c>
      <c r="H74" s="116">
        <f>H17</f>
        <v>444.2321904448126</v>
      </c>
      <c r="I74" s="116">
        <f>G18</f>
        <v>1.3661299911267633</v>
      </c>
      <c r="J74" s="116">
        <f>H18</f>
        <v>31.169981391185051</v>
      </c>
      <c r="K74" s="116">
        <f>C74+E74+G74+I74</f>
        <v>262.20255532125447</v>
      </c>
      <c r="L74" s="116">
        <f>D74+F74+H74+J74</f>
        <v>863.55508998148866</v>
      </c>
      <c r="O74" s="181" t="s">
        <v>275</v>
      </c>
      <c r="P74" s="116">
        <f>S15</f>
        <v>14.377818955588323</v>
      </c>
      <c r="Q74" s="116">
        <f>T15</f>
        <v>11.895587036176986</v>
      </c>
      <c r="R74" s="116">
        <f>S16</f>
        <v>20.193371810674417</v>
      </c>
      <c r="S74" s="116">
        <f>T16</f>
        <v>18.118843527540392</v>
      </c>
      <c r="T74" s="116">
        <f>S17</f>
        <v>59.331977448838792</v>
      </c>
      <c r="U74" s="116">
        <f>T17</f>
        <v>44.365261800434553</v>
      </c>
      <c r="V74" s="116">
        <f>S18</f>
        <v>26.381520150653056</v>
      </c>
      <c r="W74" s="116">
        <f>T18</f>
        <v>25.895931968954731</v>
      </c>
      <c r="X74" s="116">
        <f t="shared" si="11"/>
        <v>120.28468836575459</v>
      </c>
      <c r="Y74" s="116">
        <f t="shared" si="11"/>
        <v>100.27562433310666</v>
      </c>
      <c r="AA74" s="116">
        <f>K74+X74+X75</f>
        <v>384.94966167772202</v>
      </c>
      <c r="AB74" s="116">
        <f>L74+Y74+Y75</f>
        <v>965.88450737331505</v>
      </c>
      <c r="AE74" s="116"/>
      <c r="AI74" s="116"/>
      <c r="AK74" s="116"/>
    </row>
    <row r="75" spans="1:37" x14ac:dyDescent="0.55000000000000004">
      <c r="B75" s="2" t="s">
        <v>546</v>
      </c>
      <c r="D75" s="116">
        <f>-F42*PET_Scenario_MFA!I76</f>
        <v>-39.841448643609183</v>
      </c>
      <c r="F75" s="116">
        <f>-F42*HDPE_Scenario_MFA!F100</f>
        <v>-33.190773216507807</v>
      </c>
      <c r="H75" s="116">
        <f>-F42*LDPE_LLDPE_Scenario_MFA!F65</f>
        <v>-276.4638311499919</v>
      </c>
      <c r="J75" s="116">
        <f>-F42*PP_Scenarios_MFA!G76</f>
        <v>-15.216517557166743</v>
      </c>
      <c r="K75" s="116"/>
      <c r="L75" s="116">
        <f>D75+F75+H75+J75</f>
        <v>-364.71257056727563</v>
      </c>
      <c r="O75" t="s">
        <v>436</v>
      </c>
      <c r="P75" s="116">
        <f>W15</f>
        <v>0.2956631165564837</v>
      </c>
      <c r="Q75" s="116">
        <f>X15</f>
        <v>0.24500532228278293</v>
      </c>
      <c r="R75" s="116">
        <f>W16</f>
        <v>0.41318226289893994</v>
      </c>
      <c r="S75" s="116">
        <f>X16</f>
        <v>0.37082626466338714</v>
      </c>
      <c r="T75" s="116">
        <f>W17</f>
        <v>1.2137802306410419</v>
      </c>
      <c r="U75" s="116">
        <f>X17</f>
        <v>0.90809982149361601</v>
      </c>
      <c r="V75" s="116">
        <f>W18</f>
        <v>0.53979238061651835</v>
      </c>
      <c r="W75" s="116">
        <f>X18</f>
        <v>0.52986165028000198</v>
      </c>
      <c r="X75" s="116">
        <f t="shared" si="11"/>
        <v>2.462417990712984</v>
      </c>
      <c r="Y75" s="116">
        <f t="shared" si="11"/>
        <v>2.0537930587197879</v>
      </c>
      <c r="AA75" s="116"/>
      <c r="AB75" s="116"/>
      <c r="AE75" s="116"/>
      <c r="AI75" s="116"/>
    </row>
    <row r="76" spans="1:37" x14ac:dyDescent="0.55000000000000004">
      <c r="B76" s="10" t="s">
        <v>566</v>
      </c>
      <c r="D76" s="116">
        <f>SUM(D73:D75)</f>
        <v>309.03951185234212</v>
      </c>
      <c r="F76" s="116">
        <f>SUM(F73:F75)</f>
        <v>287.49205008851294</v>
      </c>
      <c r="H76" s="116">
        <f>SUM(H73:H75)</f>
        <v>489.8366973673098</v>
      </c>
      <c r="J76" s="116">
        <f>SUM(J73:J75)</f>
        <v>38.55170034262747</v>
      </c>
      <c r="L76" s="116">
        <f>D76+F76+H76+J76</f>
        <v>1124.9199596507924</v>
      </c>
      <c r="O76" s="10" t="s">
        <v>261</v>
      </c>
      <c r="P76" s="203">
        <f>SUM(P73:P75)</f>
        <v>96.844981676155726</v>
      </c>
      <c r="Q76" s="203">
        <f>SUM(Q73:Q75)</f>
        <v>80.127909565834472</v>
      </c>
      <c r="R76" s="203">
        <f t="shared" ref="R76:W76" si="12">SUM(R73:R75)</f>
        <v>136.00325688558416</v>
      </c>
      <c r="S76" s="203">
        <f t="shared" si="12"/>
        <v>122.03182062854495</v>
      </c>
      <c r="T76" s="203">
        <f t="shared" si="12"/>
        <v>399.60200068456692</v>
      </c>
      <c r="U76" s="203">
        <f t="shared" si="12"/>
        <v>298.80418670472596</v>
      </c>
      <c r="V76" s="203">
        <f>SUM(V73:V75)</f>
        <v>177.6806627063792</v>
      </c>
      <c r="W76" s="203">
        <f t="shared" si="12"/>
        <v>174.4102378869492</v>
      </c>
      <c r="X76" s="203">
        <f t="shared" si="11"/>
        <v>810.13090195268603</v>
      </c>
      <c r="Y76" s="203">
        <f t="shared" si="11"/>
        <v>675.37415478605453</v>
      </c>
      <c r="AA76" s="203">
        <f>K77+X76</f>
        <v>1307.3978363439971</v>
      </c>
      <c r="AB76" s="203">
        <f>L77+Y76</f>
        <v>1800.2941144368469</v>
      </c>
      <c r="AH76" s="8"/>
      <c r="AI76" s="8"/>
      <c r="AK76" s="8"/>
    </row>
    <row r="77" spans="1:37" x14ac:dyDescent="0.55000000000000004">
      <c r="B77" s="10" t="s">
        <v>567</v>
      </c>
      <c r="C77" s="203">
        <f t="shared" ref="C77:J77" si="13">SUM(C73:C75)</f>
        <v>232.61606544255358</v>
      </c>
      <c r="D77" s="203">
        <f t="shared" si="13"/>
        <v>309.03951185234212</v>
      </c>
      <c r="E77" s="203">
        <f t="shared" si="13"/>
        <v>212.38451033817353</v>
      </c>
      <c r="F77" s="203">
        <f t="shared" si="13"/>
        <v>287.49205008851294</v>
      </c>
      <c r="G77" s="203">
        <f t="shared" si="13"/>
        <v>41.192225192680688</v>
      </c>
      <c r="H77" s="203">
        <f t="shared" si="13"/>
        <v>489.8366973673098</v>
      </c>
      <c r="I77" s="203">
        <f t="shared" si="13"/>
        <v>11.074133417903385</v>
      </c>
      <c r="J77" s="203">
        <f t="shared" si="13"/>
        <v>38.55170034262747</v>
      </c>
      <c r="K77" s="203">
        <f>SUM(K73:K75)</f>
        <v>497.26693439131111</v>
      </c>
      <c r="L77" s="203">
        <f>SUM(L73:L75)</f>
        <v>1124.9199596507924</v>
      </c>
      <c r="AB77" s="116"/>
      <c r="AH77" s="8"/>
      <c r="AI77" s="8"/>
    </row>
    <row r="78" spans="1:37" x14ac:dyDescent="0.55000000000000004">
      <c r="K78" s="116"/>
      <c r="Y78" s="116"/>
      <c r="AB78" s="116"/>
      <c r="AH78" s="298"/>
      <c r="AI78" s="298"/>
    </row>
    <row r="79" spans="1:37" x14ac:dyDescent="0.55000000000000004">
      <c r="K79" s="116"/>
    </row>
    <row r="80" spans="1:37" x14ac:dyDescent="0.55000000000000004">
      <c r="B80" s="292" t="s">
        <v>473</v>
      </c>
      <c r="C80" s="292"/>
      <c r="D80" s="292"/>
      <c r="E80" s="292"/>
      <c r="F80" s="292"/>
      <c r="G80" s="292"/>
      <c r="H80" s="292"/>
      <c r="I80" s="292"/>
      <c r="J80" s="292"/>
      <c r="K80" s="292"/>
      <c r="L80" s="292"/>
      <c r="O80" s="292" t="s">
        <v>568</v>
      </c>
      <c r="P80" s="292"/>
      <c r="Q80" s="292"/>
      <c r="R80" s="292"/>
      <c r="S80" s="292"/>
      <c r="T80" s="292"/>
      <c r="U80" s="292"/>
      <c r="V80" s="292"/>
      <c r="W80" s="292"/>
      <c r="X80" s="292"/>
      <c r="Y80" s="292"/>
    </row>
    <row r="81" spans="2:28" x14ac:dyDescent="0.55000000000000004">
      <c r="B81" s="292" t="s">
        <v>447</v>
      </c>
      <c r="C81" s="292"/>
      <c r="D81" s="292"/>
      <c r="E81" s="292"/>
      <c r="F81" s="292"/>
      <c r="G81" s="292"/>
      <c r="H81" s="292"/>
      <c r="I81" s="292"/>
      <c r="J81" s="292"/>
      <c r="K81" s="292"/>
      <c r="L81" s="292"/>
      <c r="O81" s="292" t="s">
        <v>447</v>
      </c>
      <c r="P81" s="292"/>
      <c r="Q81" s="292"/>
      <c r="R81" s="292"/>
      <c r="S81" s="292"/>
      <c r="T81" s="292"/>
      <c r="U81" s="292"/>
      <c r="V81" s="292"/>
      <c r="W81" s="292"/>
      <c r="X81" s="292"/>
      <c r="Y81" s="292"/>
    </row>
    <row r="82" spans="2:28" x14ac:dyDescent="0.55000000000000004">
      <c r="B82" s="10"/>
      <c r="C82" s="292" t="s">
        <v>3</v>
      </c>
      <c r="D82" s="292"/>
      <c r="E82" s="292" t="s">
        <v>1</v>
      </c>
      <c r="F82" s="292"/>
      <c r="G82" s="292" t="s">
        <v>23</v>
      </c>
      <c r="H82" s="292"/>
      <c r="I82" s="292" t="s">
        <v>2</v>
      </c>
      <c r="J82" s="292"/>
      <c r="K82" s="292" t="s">
        <v>261</v>
      </c>
      <c r="L82" s="292"/>
      <c r="O82" s="10"/>
      <c r="P82" s="292" t="s">
        <v>3</v>
      </c>
      <c r="Q82" s="292"/>
      <c r="R82" s="292" t="s">
        <v>1</v>
      </c>
      <c r="S82" s="292"/>
      <c r="T82" s="292" t="s">
        <v>23</v>
      </c>
      <c r="U82" s="292"/>
      <c r="V82" s="292" t="s">
        <v>2</v>
      </c>
      <c r="W82" s="292"/>
      <c r="X82" s="292" t="s">
        <v>261</v>
      </c>
      <c r="Y82" s="292"/>
      <c r="AA82" s="296" t="s">
        <v>569</v>
      </c>
      <c r="AB82" s="296"/>
    </row>
    <row r="83" spans="2:28" x14ac:dyDescent="0.55000000000000004">
      <c r="C83" s="1" t="s">
        <v>497</v>
      </c>
      <c r="D83" s="1" t="s">
        <v>489</v>
      </c>
      <c r="E83" s="1" t="s">
        <v>497</v>
      </c>
      <c r="F83" s="1" t="s">
        <v>489</v>
      </c>
      <c r="G83" s="1" t="s">
        <v>497</v>
      </c>
      <c r="H83" s="1" t="s">
        <v>489</v>
      </c>
      <c r="I83" s="1" t="s">
        <v>497</v>
      </c>
      <c r="J83" s="1" t="s">
        <v>489</v>
      </c>
      <c r="K83" s="1" t="s">
        <v>497</v>
      </c>
      <c r="L83" s="1" t="s">
        <v>489</v>
      </c>
      <c r="P83" s="1" t="s">
        <v>497</v>
      </c>
      <c r="Q83" s="1" t="s">
        <v>489</v>
      </c>
      <c r="R83" s="1" t="s">
        <v>497</v>
      </c>
      <c r="S83" s="1" t="s">
        <v>489</v>
      </c>
      <c r="T83" s="1" t="s">
        <v>497</v>
      </c>
      <c r="U83" s="1" t="s">
        <v>489</v>
      </c>
      <c r="V83" s="1" t="s">
        <v>497</v>
      </c>
      <c r="W83" s="1" t="s">
        <v>489</v>
      </c>
      <c r="X83" s="1" t="s">
        <v>497</v>
      </c>
      <c r="Y83" s="1" t="s">
        <v>489</v>
      </c>
      <c r="AA83" s="1" t="s">
        <v>497</v>
      </c>
      <c r="AB83" s="1" t="s">
        <v>489</v>
      </c>
    </row>
    <row r="84" spans="2:28" x14ac:dyDescent="0.55000000000000004">
      <c r="B84" s="2" t="s">
        <v>433</v>
      </c>
      <c r="C84" s="116">
        <f>E22</f>
        <v>26.339979609318505</v>
      </c>
      <c r="D84" s="116">
        <f>F22</f>
        <v>39.505084775893259</v>
      </c>
      <c r="E84" s="116">
        <f>E23</f>
        <v>24.049085608079466</v>
      </c>
      <c r="F84" s="116">
        <f>F23</f>
        <v>36.312105145630781</v>
      </c>
      <c r="G84" s="116">
        <f>E24</f>
        <v>10.326028680541217</v>
      </c>
      <c r="H84" s="116">
        <f>F24</f>
        <v>86.771050216823497</v>
      </c>
      <c r="I84" s="116">
        <f>E25</f>
        <v>2.615512154629533</v>
      </c>
      <c r="J84" s="116">
        <f>F25</f>
        <v>6.0883746804656065</v>
      </c>
      <c r="K84" s="116">
        <f>C84+E84+G84+I84</f>
        <v>63.330606052568719</v>
      </c>
      <c r="L84" s="116">
        <f>D84+F84+H84+J84</f>
        <v>168.67661481881316</v>
      </c>
      <c r="O84" s="2" t="s">
        <v>433</v>
      </c>
      <c r="P84" s="116">
        <f>Q22+U22</f>
        <v>22.138491977210521</v>
      </c>
      <c r="Q84" s="116">
        <f>R22+V22</f>
        <v>18.317016043285935</v>
      </c>
      <c r="R84" s="116">
        <f>Q23+U23</f>
        <v>31.08996418115203</v>
      </c>
      <c r="S84" s="116">
        <f>R23+V23</f>
        <v>27.89613292491952</v>
      </c>
      <c r="T84" s="116">
        <f>Q24+U24</f>
        <v>91.34789984074807</v>
      </c>
      <c r="U84" s="116">
        <f>R24+V24</f>
        <v>68.305801453295032</v>
      </c>
      <c r="V84" s="116">
        <f>Q25+U25</f>
        <v>40.617302597921956</v>
      </c>
      <c r="W84" s="116">
        <f>R25+V25</f>
        <v>39.869692630178562</v>
      </c>
      <c r="X84" s="116">
        <f t="shared" ref="X84:Y87" si="14">P84+R84+T84+V84</f>
        <v>185.19365859703257</v>
      </c>
      <c r="Y84" s="116">
        <f t="shared" si="14"/>
        <v>154.38864305167905</v>
      </c>
      <c r="AA84" s="116">
        <f>K84+X84</f>
        <v>248.52426464960129</v>
      </c>
      <c r="AB84" s="116">
        <f>L84+Y84</f>
        <v>323.06525787049225</v>
      </c>
    </row>
    <row r="85" spans="2:28" ht="28.8" x14ac:dyDescent="0.55000000000000004">
      <c r="B85" s="181" t="s">
        <v>565</v>
      </c>
      <c r="C85" s="116">
        <f>G22</f>
        <v>42.058446163017862</v>
      </c>
      <c r="D85" s="116">
        <f>H22</f>
        <v>63.079869683139485</v>
      </c>
      <c r="E85" s="116">
        <f>G23</f>
        <v>38.400453884914278</v>
      </c>
      <c r="F85" s="116">
        <f>H23</f>
        <v>57.981469309606268</v>
      </c>
      <c r="G85" s="116">
        <f>G24</f>
        <v>0.89359128310185731</v>
      </c>
      <c r="H85" s="116">
        <f>H24</f>
        <v>138.55195023619888</v>
      </c>
      <c r="I85" s="116">
        <f>G25</f>
        <v>0.42608342803173904</v>
      </c>
      <c r="J85" s="116">
        <f>H25</f>
        <v>9.7216316229816915</v>
      </c>
      <c r="K85" s="116">
        <f>C85+E85+G85+I85</f>
        <v>81.778574759065734</v>
      </c>
      <c r="L85" s="116">
        <f>D85+F85+H85+J85</f>
        <v>269.33492085192631</v>
      </c>
      <c r="O85" s="181" t="s">
        <v>275</v>
      </c>
      <c r="P85" s="116">
        <f>S22</f>
        <v>1.8255950531278815</v>
      </c>
      <c r="Q85" s="116">
        <f>T22</f>
        <v>1.510418577002332</v>
      </c>
      <c r="R85" s="116">
        <f>S23</f>
        <v>2.5640133456549541</v>
      </c>
      <c r="S85" s="116">
        <f>T23</f>
        <v>2.3006042303390779</v>
      </c>
      <c r="T85" s="116">
        <f>S24</f>
        <v>7.53356019139434</v>
      </c>
      <c r="U85" s="116">
        <f>T24</f>
        <v>5.6331911483776622</v>
      </c>
      <c r="V85" s="116">
        <f>S25</f>
        <v>3.3497412110830842</v>
      </c>
      <c r="W85" s="116">
        <f>T25</f>
        <v>3.2880846145503204</v>
      </c>
      <c r="X85" s="116">
        <f t="shared" si="14"/>
        <v>15.272909801260258</v>
      </c>
      <c r="Y85" s="116">
        <f t="shared" si="14"/>
        <v>12.732298570269393</v>
      </c>
      <c r="AA85" s="116">
        <f>K85+X85+X86</f>
        <v>97.160499408804455</v>
      </c>
      <c r="AB85" s="116">
        <f>L85+Y85+Y86</f>
        <v>282.15814384686564</v>
      </c>
    </row>
    <row r="86" spans="2:28" x14ac:dyDescent="0.55000000000000004">
      <c r="B86" s="2" t="s">
        <v>546</v>
      </c>
      <c r="D86" s="116">
        <f>-H42*PET_Scenario_MFA!I76/10^6</f>
        <v>-71.642268231067817</v>
      </c>
      <c r="F86" s="116">
        <f>-H42*HDPE_Scenario_MFA!F100/10^6</f>
        <v>-59.683127961638966</v>
      </c>
      <c r="H86" s="116">
        <f>-H42*LDPE_LLDPE_Scenario_MFA!F65/10^6</f>
        <v>-497.13292617971723</v>
      </c>
      <c r="J86" s="116">
        <f>-H42*PP_Scenarios_MFA!G76/10^6</f>
        <v>-27.36210327402738</v>
      </c>
      <c r="L86" s="116">
        <f>D86+F86+H86+J86</f>
        <v>-655.82042564645144</v>
      </c>
      <c r="O86" t="s">
        <v>436</v>
      </c>
      <c r="P86" s="116">
        <f>W22</f>
        <v>1.3089438906651063E-2</v>
      </c>
      <c r="Q86" s="116">
        <f>X22</f>
        <v>1.0846744210694193E-2</v>
      </c>
      <c r="R86" s="116">
        <f>W23</f>
        <v>1.8292183517906953E-2</v>
      </c>
      <c r="S86" s="116">
        <f>X23</f>
        <v>1.641702148318433E-2</v>
      </c>
      <c r="T86" s="116">
        <f>W24</f>
        <v>5.3735827316294824E-2</v>
      </c>
      <c r="U86" s="116">
        <f>X24</f>
        <v>4.0202908205192428E-2</v>
      </c>
      <c r="V86" s="116">
        <f>W25</f>
        <v>2.3897398737613058E-2</v>
      </c>
      <c r="W86" s="116">
        <f>X25</f>
        <v>2.3457750770858894E-2</v>
      </c>
      <c r="X86" s="116">
        <f t="shared" si="14"/>
        <v>0.10901484847846589</v>
      </c>
      <c r="Y86" s="116">
        <f t="shared" si="14"/>
        <v>9.0924424669929838E-2</v>
      </c>
    </row>
    <row r="87" spans="2:28" x14ac:dyDescent="0.55000000000000004">
      <c r="B87" s="10" t="s">
        <v>566</v>
      </c>
      <c r="D87" s="116">
        <f>SUM(D84:D86)</f>
        <v>30.942686227964927</v>
      </c>
      <c r="F87" s="116">
        <f>SUM(F84:F86)</f>
        <v>34.610446493598083</v>
      </c>
      <c r="H87" s="116">
        <f>SUM(H84:H86)</f>
        <v>-271.80992572669487</v>
      </c>
      <c r="J87" s="116">
        <f>SUM(J84:J86)</f>
        <v>-11.552096970580081</v>
      </c>
      <c r="L87" s="116">
        <f>D87+F87+H87+J87</f>
        <v>-217.80888997571196</v>
      </c>
      <c r="O87" s="10" t="s">
        <v>261</v>
      </c>
      <c r="P87" s="203">
        <f t="shared" ref="P87:W87" si="15">SUM(P84:P86)</f>
        <v>23.977176469245052</v>
      </c>
      <c r="Q87" s="203">
        <f t="shared" si="15"/>
        <v>19.838281364498965</v>
      </c>
      <c r="R87" s="203">
        <f t="shared" si="15"/>
        <v>33.67226971032489</v>
      </c>
      <c r="S87" s="203">
        <f t="shared" si="15"/>
        <v>30.213154176741785</v>
      </c>
      <c r="T87" s="203">
        <f t="shared" si="15"/>
        <v>98.935195859458702</v>
      </c>
      <c r="U87" s="203">
        <f t="shared" si="15"/>
        <v>73.979195509877883</v>
      </c>
      <c r="V87" s="203">
        <f t="shared" si="15"/>
        <v>43.990941207742651</v>
      </c>
      <c r="W87" s="203">
        <f t="shared" si="15"/>
        <v>43.181234995499743</v>
      </c>
      <c r="X87" s="203">
        <f t="shared" si="14"/>
        <v>200.57558324677129</v>
      </c>
      <c r="Y87" s="203">
        <f t="shared" si="14"/>
        <v>167.21186604661838</v>
      </c>
      <c r="AA87" s="203">
        <f>K88+X87</f>
        <v>345.68476405840573</v>
      </c>
      <c r="AB87" s="203">
        <f>L88+Y87</f>
        <v>-50.597023929093581</v>
      </c>
    </row>
    <row r="88" spans="2:28" x14ac:dyDescent="0.55000000000000004">
      <c r="B88" s="10" t="s">
        <v>567</v>
      </c>
      <c r="C88" s="203">
        <f>SUM(C84:C86)</f>
        <v>68.398425772336367</v>
      </c>
      <c r="D88" s="203">
        <f>SUM(D84:D86)</f>
        <v>30.942686227964927</v>
      </c>
      <c r="E88" s="203">
        <f t="shared" ref="E88:I88" si="16">SUM(E84:E86)</f>
        <v>62.449539492993743</v>
      </c>
      <c r="F88" s="203">
        <f t="shared" si="16"/>
        <v>34.610446493598083</v>
      </c>
      <c r="G88" s="203">
        <f t="shared" si="16"/>
        <v>11.219619963643074</v>
      </c>
      <c r="H88" s="203">
        <f t="shared" si="16"/>
        <v>-271.80992572669487</v>
      </c>
      <c r="I88" s="203">
        <f t="shared" si="16"/>
        <v>3.0415955826612722</v>
      </c>
      <c r="J88" s="203">
        <f>SUM(J84:J86)</f>
        <v>-11.552096970580081</v>
      </c>
      <c r="K88" s="203">
        <f>SUM(K84:K86)</f>
        <v>145.10918081163445</v>
      </c>
      <c r="L88" s="203">
        <f>SUM(L84:L86)</f>
        <v>-217.80888997571196</v>
      </c>
    </row>
    <row r="89" spans="2:28" x14ac:dyDescent="0.55000000000000004">
      <c r="K89" s="116"/>
      <c r="L89" s="116"/>
      <c r="Y89" s="116"/>
    </row>
    <row r="91" spans="2:28" x14ac:dyDescent="0.55000000000000004">
      <c r="B91" s="292" t="s">
        <v>473</v>
      </c>
      <c r="C91" s="292"/>
      <c r="D91" s="292"/>
      <c r="E91" s="292"/>
      <c r="F91" s="292"/>
      <c r="G91" s="292"/>
      <c r="H91" s="292"/>
      <c r="I91" s="292"/>
      <c r="J91" s="292"/>
      <c r="K91" s="292"/>
      <c r="L91" s="292"/>
      <c r="O91" s="292" t="s">
        <v>568</v>
      </c>
      <c r="P91" s="292"/>
      <c r="Q91" s="292"/>
      <c r="R91" s="292"/>
      <c r="S91" s="292"/>
      <c r="T91" s="292"/>
      <c r="U91" s="292"/>
      <c r="V91" s="292"/>
      <c r="W91" s="292"/>
      <c r="X91" s="292"/>
      <c r="Y91" s="292"/>
    </row>
    <row r="92" spans="2:28" x14ac:dyDescent="0.55000000000000004">
      <c r="B92" s="292" t="s">
        <v>475</v>
      </c>
      <c r="C92" s="292"/>
      <c r="D92" s="292"/>
      <c r="E92" s="292"/>
      <c r="F92" s="292"/>
      <c r="G92" s="292"/>
      <c r="H92" s="292"/>
      <c r="I92" s="292"/>
      <c r="J92" s="292"/>
      <c r="K92" s="292"/>
      <c r="L92" s="292"/>
      <c r="O92" s="292" t="s">
        <v>475</v>
      </c>
      <c r="P92" s="292"/>
      <c r="Q92" s="292"/>
      <c r="R92" s="292"/>
      <c r="S92" s="292"/>
      <c r="T92" s="292"/>
      <c r="U92" s="292"/>
      <c r="V92" s="292"/>
      <c r="W92" s="292"/>
      <c r="X92" s="292"/>
      <c r="Y92" s="292"/>
    </row>
    <row r="93" spans="2:28" x14ac:dyDescent="0.55000000000000004">
      <c r="B93" s="10"/>
      <c r="C93" s="292" t="s">
        <v>3</v>
      </c>
      <c r="D93" s="292"/>
      <c r="E93" s="292" t="s">
        <v>1</v>
      </c>
      <c r="F93" s="292"/>
      <c r="G93" s="292" t="s">
        <v>23</v>
      </c>
      <c r="H93" s="292"/>
      <c r="I93" s="292" t="s">
        <v>2</v>
      </c>
      <c r="J93" s="292"/>
      <c r="K93" s="292" t="s">
        <v>261</v>
      </c>
      <c r="L93" s="292"/>
      <c r="O93" s="10"/>
      <c r="P93" s="292" t="s">
        <v>3</v>
      </c>
      <c r="Q93" s="292"/>
      <c r="R93" s="292" t="s">
        <v>1</v>
      </c>
      <c r="S93" s="292"/>
      <c r="T93" s="292" t="s">
        <v>23</v>
      </c>
      <c r="U93" s="292"/>
      <c r="V93" s="292" t="s">
        <v>2</v>
      </c>
      <c r="W93" s="292"/>
      <c r="X93" s="292" t="s">
        <v>261</v>
      </c>
      <c r="Y93" s="292"/>
      <c r="AA93" s="296" t="s">
        <v>569</v>
      </c>
      <c r="AB93" s="296"/>
    </row>
    <row r="94" spans="2:28" x14ac:dyDescent="0.55000000000000004">
      <c r="C94" s="1" t="s">
        <v>497</v>
      </c>
      <c r="D94" s="1" t="s">
        <v>489</v>
      </c>
      <c r="E94" s="1" t="s">
        <v>497</v>
      </c>
      <c r="F94" s="1" t="s">
        <v>489</v>
      </c>
      <c r="G94" s="1" t="s">
        <v>497</v>
      </c>
      <c r="H94" s="1" t="s">
        <v>489</v>
      </c>
      <c r="I94" s="1" t="s">
        <v>497</v>
      </c>
      <c r="J94" s="1" t="s">
        <v>489</v>
      </c>
      <c r="K94" s="1" t="s">
        <v>497</v>
      </c>
      <c r="L94" s="1" t="s">
        <v>489</v>
      </c>
      <c r="P94" s="1" t="s">
        <v>497</v>
      </c>
      <c r="Q94" s="1" t="s">
        <v>489</v>
      </c>
      <c r="R94" s="1" t="s">
        <v>497</v>
      </c>
      <c r="S94" s="1" t="s">
        <v>489</v>
      </c>
      <c r="T94" s="1" t="s">
        <v>497</v>
      </c>
      <c r="U94" s="1" t="s">
        <v>489</v>
      </c>
      <c r="V94" s="1" t="s">
        <v>497</v>
      </c>
      <c r="W94" s="1" t="s">
        <v>489</v>
      </c>
      <c r="X94" s="1" t="s">
        <v>497</v>
      </c>
      <c r="Y94" s="1" t="s">
        <v>489</v>
      </c>
      <c r="AA94" s="1" t="s">
        <v>497</v>
      </c>
      <c r="AB94" s="1" t="s">
        <v>489</v>
      </c>
    </row>
    <row r="95" spans="2:28" x14ac:dyDescent="0.55000000000000004">
      <c r="B95" s="2" t="s">
        <v>433</v>
      </c>
      <c r="C95" s="116">
        <f>E30</f>
        <v>5.820989968910169</v>
      </c>
      <c r="D95" s="116">
        <f>F30</f>
        <v>8.7304054753355267</v>
      </c>
      <c r="E95" s="116">
        <f>E31</f>
        <v>5.3147150515092747</v>
      </c>
      <c r="F95" s="116">
        <f>F31</f>
        <v>8.0247746178189594</v>
      </c>
      <c r="G95" s="116">
        <f>E32</f>
        <v>2.2819952885173964</v>
      </c>
      <c r="H95" s="116">
        <f>F32</f>
        <v>19.175922699850503</v>
      </c>
      <c r="I95" s="116">
        <f>E33</f>
        <v>0.57801373582973126</v>
      </c>
      <c r="J95" s="116">
        <f>F33</f>
        <v>1.3454971669537255</v>
      </c>
      <c r="K95" s="116">
        <f>C95+E95+G95+I95</f>
        <v>13.995714044766572</v>
      </c>
      <c r="L95" s="116">
        <f>D95+F95+H95+J95</f>
        <v>37.276599959958716</v>
      </c>
      <c r="O95" s="2" t="s">
        <v>433</v>
      </c>
      <c r="P95" s="116">
        <f>Q30+U30</f>
        <v>4.8924844148531523</v>
      </c>
      <c r="Q95" s="116">
        <f>R30+V30</f>
        <v>4.0479593465825259</v>
      </c>
      <c r="R95" s="116">
        <f>Q31+U31</f>
        <v>6.8707103162766918</v>
      </c>
      <c r="S95" s="116">
        <f>R31+V31</f>
        <v>6.1648912541258607</v>
      </c>
      <c r="T95" s="116">
        <f>Q32+U32</f>
        <v>20.187381180275814</v>
      </c>
      <c r="U95" s="116">
        <f>R32+V32</f>
        <v>15.095204741059675</v>
      </c>
      <c r="V95" s="116">
        <f>Q33+U33</f>
        <v>8.9761994691540234</v>
      </c>
      <c r="W95" s="116">
        <f>R33+V33</f>
        <v>8.8109817967245423</v>
      </c>
      <c r="X95" s="116">
        <f t="shared" ref="X95:Y98" si="17">P95+R95+T95+V95</f>
        <v>40.926775380559683</v>
      </c>
      <c r="Y95" s="116">
        <f t="shared" si="17"/>
        <v>34.119037138492601</v>
      </c>
      <c r="AA95" s="116">
        <f>K95+X95</f>
        <v>54.922489425326255</v>
      </c>
      <c r="AB95" s="116">
        <f>L95+Y95</f>
        <v>71.395637098451317</v>
      </c>
    </row>
    <row r="96" spans="2:28" ht="28.8" x14ac:dyDescent="0.55000000000000004">
      <c r="B96" s="181" t="s">
        <v>565</v>
      </c>
      <c r="C96" s="116">
        <f>G30</f>
        <v>6.1247612224894752</v>
      </c>
      <c r="D96" s="116">
        <f>H30</f>
        <v>9.186006022607188</v>
      </c>
      <c r="E96" s="116">
        <f>G31</f>
        <v>5.5920660969906422</v>
      </c>
      <c r="F96" s="116">
        <f>H31</f>
        <v>8.4435514682114121</v>
      </c>
      <c r="G96" s="116">
        <f>G32</f>
        <v>0.13012923060170797</v>
      </c>
      <c r="H96" s="116">
        <f>H32</f>
        <v>20.176627753146459</v>
      </c>
      <c r="I96" s="116">
        <f>G33</f>
        <v>6.2048399207121997E-2</v>
      </c>
      <c r="J96" s="116">
        <f>H33</f>
        <v>1.415712605096709</v>
      </c>
      <c r="K96" s="116">
        <f>C96+E96+G96+I96</f>
        <v>11.909004949288947</v>
      </c>
      <c r="L96" s="116">
        <f>D96+F96+H96+J96</f>
        <v>39.221897849061769</v>
      </c>
      <c r="O96" s="181" t="s">
        <v>275</v>
      </c>
      <c r="P96" s="116">
        <f>S30</f>
        <v>0.38308364279731349</v>
      </c>
      <c r="Q96" s="116">
        <f>T30</f>
        <v>0.3169468769294787</v>
      </c>
      <c r="R96" s="116">
        <f>S31</f>
        <v>0.53803365152174443</v>
      </c>
      <c r="S96" s="116">
        <f>T31</f>
        <v>0.48275977067487574</v>
      </c>
      <c r="T96" s="116">
        <f>S32</f>
        <v>1.5808454763324826</v>
      </c>
      <c r="U96" s="116">
        <f>T32</f>
        <v>1.1820712276781851</v>
      </c>
      <c r="V96" s="116">
        <f>S33</f>
        <v>0.70291112115546639</v>
      </c>
      <c r="W96" s="116">
        <f>T33</f>
        <v>0.68997307470218172</v>
      </c>
      <c r="X96" s="116">
        <f t="shared" si="17"/>
        <v>3.204873891807007</v>
      </c>
      <c r="Y96" s="116">
        <f t="shared" si="17"/>
        <v>2.6717509499847214</v>
      </c>
      <c r="AA96" s="116">
        <f>K96+X96+X97</f>
        <v>15.136754563289973</v>
      </c>
      <c r="AB96" s="116">
        <f>L96+Y96+Y97</f>
        <v>41.91272841901047</v>
      </c>
    </row>
    <row r="97" spans="2:29" x14ac:dyDescent="0.55000000000000004">
      <c r="B97" s="2" t="s">
        <v>546</v>
      </c>
      <c r="D97" s="116">
        <f>-G42*PET_Scenario_MFA!I76/10^6</f>
        <v>-4.3799871468930789</v>
      </c>
      <c r="F97" s="116">
        <f>-G42*HDPE_Scenario_MFA!F100/10^6</f>
        <v>-3.6488422241912208</v>
      </c>
      <c r="H97" s="116">
        <f>-G42*LDPE_LLDPE_Scenario_MFA!F65/10^6</f>
        <v>-30.393172644138275</v>
      </c>
      <c r="J97" s="116">
        <f>-G42*PP_Scenarios_MFA!G76/10^6</f>
        <v>-1.6728345376456077</v>
      </c>
      <c r="L97" s="116">
        <f>D97+F97+H97+J97</f>
        <v>-40.09483655286818</v>
      </c>
      <c r="O97" t="s">
        <v>436</v>
      </c>
      <c r="P97" s="116">
        <f>W30</f>
        <v>2.7466934301456623E-3</v>
      </c>
      <c r="Q97" s="116">
        <f>X30</f>
        <v>2.2760854208079039E-3</v>
      </c>
      <c r="R97" s="116">
        <f>W31</f>
        <v>3.8384395733054755E-3</v>
      </c>
      <c r="S97" s="116">
        <f>X31</f>
        <v>3.4449547739979886E-3</v>
      </c>
      <c r="T97" s="116">
        <f>W32</f>
        <v>1.1275948870360802E-2</v>
      </c>
      <c r="U97" s="116">
        <f>X32</f>
        <v>8.4361953653980925E-3</v>
      </c>
      <c r="V97" s="116">
        <f>W33</f>
        <v>5.0146403202065704E-3</v>
      </c>
      <c r="W97" s="116">
        <f>X33</f>
        <v>4.9223844037786348E-3</v>
      </c>
      <c r="X97" s="116">
        <f t="shared" si="17"/>
        <v>2.2875722194018511E-2</v>
      </c>
      <c r="Y97" s="116">
        <f t="shared" si="17"/>
        <v>1.9079619963982618E-2</v>
      </c>
      <c r="AC97" s="116"/>
    </row>
    <row r="98" spans="2:29" x14ac:dyDescent="0.55000000000000004">
      <c r="B98" s="10" t="s">
        <v>566</v>
      </c>
      <c r="D98" s="116">
        <f>SUM(D95:D97)</f>
        <v>13.536424351049636</v>
      </c>
      <c r="F98" s="116">
        <f>SUM(F95:F97)</f>
        <v>12.819483861839153</v>
      </c>
      <c r="H98" s="116">
        <f>SUM(H95:H97)</f>
        <v>8.9593778088586902</v>
      </c>
      <c r="J98" s="116">
        <f>SUM(J95:J97)</f>
        <v>1.0883752344048265</v>
      </c>
      <c r="L98" s="116">
        <f>D98+F98+H98+J98</f>
        <v>36.403661256152311</v>
      </c>
      <c r="O98" s="10" t="s">
        <v>261</v>
      </c>
      <c r="P98" s="203">
        <f t="shared" ref="P98:W98" si="18">SUM(P95:P97)</f>
        <v>5.278314751080611</v>
      </c>
      <c r="Q98" s="203">
        <f t="shared" si="18"/>
        <v>4.3671823089328123</v>
      </c>
      <c r="R98" s="203">
        <f t="shared" si="18"/>
        <v>7.4125824073717421</v>
      </c>
      <c r="S98" s="203">
        <f t="shared" si="18"/>
        <v>6.651095979574734</v>
      </c>
      <c r="T98" s="203">
        <f t="shared" si="18"/>
        <v>21.779502605478655</v>
      </c>
      <c r="U98" s="203">
        <f t="shared" si="18"/>
        <v>16.285712164103259</v>
      </c>
      <c r="V98" s="203">
        <f t="shared" si="18"/>
        <v>9.6841252306296965</v>
      </c>
      <c r="W98" s="203">
        <f t="shared" si="18"/>
        <v>9.5058772558305034</v>
      </c>
      <c r="X98" s="203">
        <f t="shared" si="17"/>
        <v>44.154524994560703</v>
      </c>
      <c r="Y98" s="203">
        <f t="shared" si="17"/>
        <v>36.80986770844131</v>
      </c>
      <c r="AA98" s="203">
        <f>K99+X98</f>
        <v>70.059243988616231</v>
      </c>
      <c r="AB98" s="203">
        <f>L99+Y98</f>
        <v>73.213528964593607</v>
      </c>
    </row>
    <row r="99" spans="2:29" x14ac:dyDescent="0.55000000000000004">
      <c r="B99" s="10" t="s">
        <v>567</v>
      </c>
      <c r="C99" s="203">
        <f>SUM(C95:C97)</f>
        <v>11.945751191399644</v>
      </c>
      <c r="D99" s="203">
        <f t="shared" ref="D99:J99" si="19">SUM(D95:D97)</f>
        <v>13.536424351049636</v>
      </c>
      <c r="E99" s="203">
        <f t="shared" si="19"/>
        <v>10.906781148499917</v>
      </c>
      <c r="F99" s="203">
        <f t="shared" si="19"/>
        <v>12.819483861839153</v>
      </c>
      <c r="G99" s="203">
        <f t="shared" si="19"/>
        <v>2.4121245191191045</v>
      </c>
      <c r="H99" s="203">
        <f t="shared" si="19"/>
        <v>8.9593778088586902</v>
      </c>
      <c r="I99" s="203">
        <f t="shared" si="19"/>
        <v>0.64006213503685327</v>
      </c>
      <c r="J99" s="203">
        <f t="shared" si="19"/>
        <v>1.0883752344048265</v>
      </c>
      <c r="K99" s="203">
        <f>SUM(K95:K97)</f>
        <v>25.904718994055521</v>
      </c>
      <c r="L99" s="203">
        <f>SUM(L95:L97)</f>
        <v>36.403661256152297</v>
      </c>
    </row>
    <row r="100" spans="2:29" x14ac:dyDescent="0.55000000000000004">
      <c r="G100" s="7"/>
      <c r="H100" s="7"/>
      <c r="M100"/>
      <c r="Y100" s="116"/>
    </row>
    <row r="101" spans="2:29" x14ac:dyDescent="0.55000000000000004">
      <c r="G101" s="7"/>
      <c r="H101" s="7"/>
      <c r="L101" s="116"/>
      <c r="M101"/>
    </row>
    <row r="102" spans="2:29" x14ac:dyDescent="0.55000000000000004">
      <c r="M102"/>
    </row>
    <row r="103" spans="2:29" x14ac:dyDescent="0.55000000000000004">
      <c r="M103"/>
    </row>
    <row r="104" spans="2:29" x14ac:dyDescent="0.55000000000000004">
      <c r="M104"/>
    </row>
    <row r="105" spans="2:29" x14ac:dyDescent="0.55000000000000004">
      <c r="M105"/>
    </row>
    <row r="106" spans="2:29" x14ac:dyDescent="0.55000000000000004">
      <c r="M106"/>
    </row>
    <row r="107" spans="2:29" x14ac:dyDescent="0.55000000000000004">
      <c r="M107"/>
    </row>
    <row r="108" spans="2:29" x14ac:dyDescent="0.55000000000000004">
      <c r="M108"/>
    </row>
    <row r="109" spans="2:29" x14ac:dyDescent="0.55000000000000004">
      <c r="M109"/>
    </row>
    <row r="110" spans="2:29" x14ac:dyDescent="0.55000000000000004">
      <c r="M110"/>
    </row>
    <row r="111" spans="2:29" x14ac:dyDescent="0.55000000000000004">
      <c r="M111"/>
    </row>
    <row r="112" spans="2:29" x14ac:dyDescent="0.55000000000000004">
      <c r="M112"/>
    </row>
    <row r="113" spans="13:24" x14ac:dyDescent="0.55000000000000004">
      <c r="M113"/>
    </row>
    <row r="114" spans="13:24" x14ac:dyDescent="0.55000000000000004">
      <c r="M114"/>
      <c r="X114" s="5"/>
    </row>
    <row r="115" spans="13:24" x14ac:dyDescent="0.55000000000000004">
      <c r="M115"/>
    </row>
    <row r="116" spans="13:24" x14ac:dyDescent="0.55000000000000004">
      <c r="M116"/>
    </row>
    <row r="117" spans="13:24" x14ac:dyDescent="0.55000000000000004">
      <c r="M117"/>
    </row>
    <row r="118" spans="13:24" x14ac:dyDescent="0.55000000000000004">
      <c r="M118"/>
    </row>
    <row r="119" spans="13:24" x14ac:dyDescent="0.55000000000000004">
      <c r="M119"/>
    </row>
    <row r="120" spans="13:24" x14ac:dyDescent="0.55000000000000004">
      <c r="M120"/>
    </row>
    <row r="121" spans="13:24" x14ac:dyDescent="0.55000000000000004">
      <c r="M121"/>
    </row>
    <row r="122" spans="13:24" x14ac:dyDescent="0.55000000000000004">
      <c r="M122"/>
    </row>
    <row r="123" spans="13:24" x14ac:dyDescent="0.55000000000000004">
      <c r="M123"/>
    </row>
    <row r="124" spans="13:24" x14ac:dyDescent="0.55000000000000004">
      <c r="M124"/>
      <c r="X124" s="5"/>
    </row>
    <row r="125" spans="13:24" x14ac:dyDescent="0.55000000000000004">
      <c r="M125"/>
    </row>
    <row r="126" spans="13:24" x14ac:dyDescent="0.55000000000000004">
      <c r="M126"/>
    </row>
    <row r="127" spans="13:24" x14ac:dyDescent="0.55000000000000004">
      <c r="M127"/>
    </row>
    <row r="128" spans="13:24" x14ac:dyDescent="0.55000000000000004">
      <c r="M128"/>
    </row>
    <row r="129" spans="13:24" x14ac:dyDescent="0.55000000000000004">
      <c r="M129"/>
    </row>
    <row r="130" spans="13:24" x14ac:dyDescent="0.55000000000000004">
      <c r="M130"/>
    </row>
    <row r="131" spans="13:24" x14ac:dyDescent="0.55000000000000004">
      <c r="M131"/>
    </row>
    <row r="132" spans="13:24" x14ac:dyDescent="0.55000000000000004">
      <c r="M132"/>
    </row>
    <row r="133" spans="13:24" x14ac:dyDescent="0.55000000000000004">
      <c r="M133"/>
    </row>
    <row r="134" spans="13:24" x14ac:dyDescent="0.55000000000000004">
      <c r="M134"/>
    </row>
    <row r="135" spans="13:24" x14ac:dyDescent="0.55000000000000004">
      <c r="M135"/>
      <c r="X135" s="5"/>
    </row>
    <row r="136" spans="13:24" x14ac:dyDescent="0.55000000000000004">
      <c r="M136"/>
    </row>
    <row r="137" spans="13:24" x14ac:dyDescent="0.55000000000000004">
      <c r="M137"/>
    </row>
    <row r="138" spans="13:24" x14ac:dyDescent="0.55000000000000004">
      <c r="M138"/>
    </row>
    <row r="139" spans="13:24" x14ac:dyDescent="0.55000000000000004">
      <c r="M139"/>
    </row>
    <row r="140" spans="13:24" x14ac:dyDescent="0.55000000000000004">
      <c r="M140"/>
    </row>
    <row r="141" spans="13:24" x14ac:dyDescent="0.55000000000000004">
      <c r="M141"/>
    </row>
    <row r="142" spans="13:24" x14ac:dyDescent="0.55000000000000004">
      <c r="M142"/>
    </row>
    <row r="143" spans="13:24" x14ac:dyDescent="0.55000000000000004">
      <c r="M143"/>
    </row>
    <row r="144" spans="13:24" x14ac:dyDescent="0.55000000000000004">
      <c r="M144"/>
    </row>
    <row r="145" spans="13:13" x14ac:dyDescent="0.55000000000000004">
      <c r="M145"/>
    </row>
    <row r="146" spans="13:13" x14ac:dyDescent="0.55000000000000004">
      <c r="M146"/>
    </row>
    <row r="147" spans="13:13" x14ac:dyDescent="0.55000000000000004">
      <c r="M147"/>
    </row>
    <row r="148" spans="13:13" x14ac:dyDescent="0.55000000000000004">
      <c r="M148"/>
    </row>
    <row r="149" spans="13:13" x14ac:dyDescent="0.55000000000000004">
      <c r="M149"/>
    </row>
    <row r="150" spans="13:13" x14ac:dyDescent="0.55000000000000004">
      <c r="M150"/>
    </row>
    <row r="151" spans="13:13" x14ac:dyDescent="0.55000000000000004">
      <c r="M151"/>
    </row>
    <row r="152" spans="13:13" x14ac:dyDescent="0.55000000000000004">
      <c r="M152"/>
    </row>
    <row r="153" spans="13:13" x14ac:dyDescent="0.55000000000000004">
      <c r="M153"/>
    </row>
    <row r="154" spans="13:13" x14ac:dyDescent="0.55000000000000004">
      <c r="M154"/>
    </row>
    <row r="155" spans="13:13" x14ac:dyDescent="0.55000000000000004">
      <c r="M155"/>
    </row>
    <row r="156" spans="13:13" x14ac:dyDescent="0.55000000000000004">
      <c r="M156"/>
    </row>
    <row r="157" spans="13:13" x14ac:dyDescent="0.55000000000000004">
      <c r="M157"/>
    </row>
    <row r="158" spans="13:13" x14ac:dyDescent="0.55000000000000004">
      <c r="M158"/>
    </row>
    <row r="159" spans="13:13" x14ac:dyDescent="0.55000000000000004">
      <c r="M159"/>
    </row>
    <row r="160" spans="13:13" x14ac:dyDescent="0.55000000000000004">
      <c r="M160"/>
    </row>
    <row r="161" spans="13:13" x14ac:dyDescent="0.55000000000000004">
      <c r="M161"/>
    </row>
    <row r="162" spans="13:13" x14ac:dyDescent="0.55000000000000004">
      <c r="M162"/>
    </row>
    <row r="163" spans="13:13" x14ac:dyDescent="0.55000000000000004">
      <c r="M163"/>
    </row>
    <row r="164" spans="13:13" x14ac:dyDescent="0.55000000000000004">
      <c r="M164"/>
    </row>
    <row r="165" spans="13:13" x14ac:dyDescent="0.55000000000000004">
      <c r="M165"/>
    </row>
    <row r="166" spans="13:13" x14ac:dyDescent="0.55000000000000004">
      <c r="M166"/>
    </row>
    <row r="167" spans="13:13" x14ac:dyDescent="0.55000000000000004">
      <c r="M167"/>
    </row>
    <row r="168" spans="13:13" x14ac:dyDescent="0.55000000000000004">
      <c r="M168"/>
    </row>
    <row r="169" spans="13:13" x14ac:dyDescent="0.55000000000000004">
      <c r="M169"/>
    </row>
    <row r="170" spans="13:13" x14ac:dyDescent="0.55000000000000004">
      <c r="M170"/>
    </row>
    <row r="171" spans="13:13" x14ac:dyDescent="0.55000000000000004">
      <c r="M171"/>
    </row>
    <row r="172" spans="13:13" x14ac:dyDescent="0.55000000000000004">
      <c r="M172"/>
    </row>
    <row r="173" spans="13:13" x14ac:dyDescent="0.55000000000000004">
      <c r="M173"/>
    </row>
    <row r="174" spans="13:13" x14ac:dyDescent="0.55000000000000004">
      <c r="M174"/>
    </row>
    <row r="175" spans="13:13" x14ac:dyDescent="0.55000000000000004">
      <c r="M175"/>
    </row>
    <row r="176" spans="13:13" x14ac:dyDescent="0.55000000000000004">
      <c r="M176"/>
    </row>
    <row r="177" spans="13:13" x14ac:dyDescent="0.55000000000000004">
      <c r="M177"/>
    </row>
    <row r="178" spans="13:13" x14ac:dyDescent="0.55000000000000004">
      <c r="M178"/>
    </row>
    <row r="179" spans="13:13" x14ac:dyDescent="0.55000000000000004">
      <c r="M179"/>
    </row>
    <row r="180" spans="13:13" x14ac:dyDescent="0.55000000000000004">
      <c r="M180"/>
    </row>
    <row r="181" spans="13:13" x14ac:dyDescent="0.55000000000000004">
      <c r="M181"/>
    </row>
    <row r="182" spans="13:13" x14ac:dyDescent="0.55000000000000004">
      <c r="M182"/>
    </row>
    <row r="183" spans="13:13" x14ac:dyDescent="0.55000000000000004">
      <c r="M183"/>
    </row>
    <row r="184" spans="13:13" x14ac:dyDescent="0.55000000000000004">
      <c r="M184"/>
    </row>
    <row r="185" spans="13:13" x14ac:dyDescent="0.55000000000000004">
      <c r="M185"/>
    </row>
    <row r="186" spans="13:13" x14ac:dyDescent="0.55000000000000004">
      <c r="M186"/>
    </row>
    <row r="187" spans="13:13" x14ac:dyDescent="0.55000000000000004">
      <c r="M187"/>
    </row>
    <row r="188" spans="13:13" x14ac:dyDescent="0.55000000000000004">
      <c r="M188"/>
    </row>
    <row r="189" spans="13:13" x14ac:dyDescent="0.55000000000000004">
      <c r="M189"/>
    </row>
    <row r="190" spans="13:13" x14ac:dyDescent="0.55000000000000004">
      <c r="M190"/>
    </row>
    <row r="191" spans="13:13" x14ac:dyDescent="0.55000000000000004">
      <c r="M191"/>
    </row>
    <row r="192" spans="13:13" x14ac:dyDescent="0.55000000000000004">
      <c r="M192"/>
    </row>
    <row r="193" spans="13:13" x14ac:dyDescent="0.55000000000000004">
      <c r="M193"/>
    </row>
    <row r="194" spans="13:13" x14ac:dyDescent="0.55000000000000004">
      <c r="M194"/>
    </row>
    <row r="195" spans="13:13" x14ac:dyDescent="0.55000000000000004">
      <c r="M195"/>
    </row>
    <row r="196" spans="13:13" x14ac:dyDescent="0.55000000000000004">
      <c r="M196"/>
    </row>
    <row r="197" spans="13:13" x14ac:dyDescent="0.55000000000000004">
      <c r="M197"/>
    </row>
    <row r="198" spans="13:13" x14ac:dyDescent="0.55000000000000004">
      <c r="M198"/>
    </row>
    <row r="199" spans="13:13" x14ac:dyDescent="0.55000000000000004">
      <c r="M199"/>
    </row>
    <row r="200" spans="13:13" x14ac:dyDescent="0.55000000000000004">
      <c r="M200"/>
    </row>
    <row r="201" spans="13:13" x14ac:dyDescent="0.55000000000000004">
      <c r="M201"/>
    </row>
    <row r="202" spans="13:13" x14ac:dyDescent="0.55000000000000004">
      <c r="M202"/>
    </row>
    <row r="203" spans="13:13" x14ac:dyDescent="0.55000000000000004">
      <c r="M203"/>
    </row>
    <row r="204" spans="13:13" x14ac:dyDescent="0.55000000000000004">
      <c r="M204"/>
    </row>
    <row r="205" spans="13:13" x14ac:dyDescent="0.55000000000000004">
      <c r="M205"/>
    </row>
    <row r="206" spans="13:13" x14ac:dyDescent="0.55000000000000004">
      <c r="M206"/>
    </row>
    <row r="207" spans="13:13" x14ac:dyDescent="0.55000000000000004">
      <c r="M207"/>
    </row>
    <row r="208" spans="13:13" x14ac:dyDescent="0.55000000000000004">
      <c r="M208"/>
    </row>
    <row r="209" spans="13:13" x14ac:dyDescent="0.55000000000000004">
      <c r="M209"/>
    </row>
    <row r="210" spans="13:13" x14ac:dyDescent="0.55000000000000004">
      <c r="M210"/>
    </row>
    <row r="211" spans="13:13" x14ac:dyDescent="0.55000000000000004">
      <c r="M211"/>
    </row>
    <row r="212" spans="13:13" x14ac:dyDescent="0.55000000000000004">
      <c r="M212"/>
    </row>
    <row r="213" spans="13:13" x14ac:dyDescent="0.55000000000000004">
      <c r="M213"/>
    </row>
    <row r="214" spans="13:13" x14ac:dyDescent="0.55000000000000004">
      <c r="M214"/>
    </row>
    <row r="215" spans="13:13" x14ac:dyDescent="0.55000000000000004">
      <c r="M215"/>
    </row>
    <row r="216" spans="13:13" x14ac:dyDescent="0.55000000000000004">
      <c r="M216"/>
    </row>
    <row r="217" spans="13:13" x14ac:dyDescent="0.55000000000000004">
      <c r="M217"/>
    </row>
    <row r="218" spans="13:13" x14ac:dyDescent="0.55000000000000004">
      <c r="M218"/>
    </row>
    <row r="219" spans="13:13" x14ac:dyDescent="0.55000000000000004">
      <c r="M219"/>
    </row>
    <row r="220" spans="13:13" x14ac:dyDescent="0.55000000000000004">
      <c r="M220"/>
    </row>
    <row r="221" spans="13:13" x14ac:dyDescent="0.55000000000000004">
      <c r="M221"/>
    </row>
    <row r="222" spans="13:13" x14ac:dyDescent="0.55000000000000004">
      <c r="M222"/>
    </row>
    <row r="223" spans="13:13" x14ac:dyDescent="0.55000000000000004">
      <c r="M223"/>
    </row>
    <row r="224" spans="13:13" x14ac:dyDescent="0.55000000000000004">
      <c r="M224"/>
    </row>
    <row r="225" spans="13:13" x14ac:dyDescent="0.55000000000000004">
      <c r="M225"/>
    </row>
    <row r="226" spans="13:13" x14ac:dyDescent="0.55000000000000004">
      <c r="M226"/>
    </row>
    <row r="227" spans="13:13" x14ac:dyDescent="0.55000000000000004">
      <c r="M227"/>
    </row>
    <row r="228" spans="13:13" x14ac:dyDescent="0.55000000000000004">
      <c r="M228"/>
    </row>
    <row r="229" spans="13:13" x14ac:dyDescent="0.55000000000000004">
      <c r="M229"/>
    </row>
    <row r="230" spans="13:13" x14ac:dyDescent="0.55000000000000004">
      <c r="M230"/>
    </row>
    <row r="231" spans="13:13" x14ac:dyDescent="0.55000000000000004">
      <c r="M231"/>
    </row>
    <row r="232" spans="13:13" x14ac:dyDescent="0.55000000000000004">
      <c r="M232"/>
    </row>
    <row r="233" spans="13:13" x14ac:dyDescent="0.55000000000000004">
      <c r="M233"/>
    </row>
    <row r="234" spans="13:13" x14ac:dyDescent="0.55000000000000004">
      <c r="M234"/>
    </row>
    <row r="235" spans="13:13" x14ac:dyDescent="0.55000000000000004">
      <c r="M235"/>
    </row>
    <row r="236" spans="13:13" x14ac:dyDescent="0.55000000000000004">
      <c r="M236"/>
    </row>
    <row r="237" spans="13:13" x14ac:dyDescent="0.55000000000000004">
      <c r="M237"/>
    </row>
    <row r="238" spans="13:13" x14ac:dyDescent="0.55000000000000004">
      <c r="M238"/>
    </row>
    <row r="239" spans="13:13" x14ac:dyDescent="0.55000000000000004">
      <c r="M239"/>
    </row>
    <row r="240" spans="13:13" x14ac:dyDescent="0.55000000000000004">
      <c r="M240"/>
    </row>
    <row r="241" spans="13:13" x14ac:dyDescent="0.55000000000000004">
      <c r="M241"/>
    </row>
    <row r="242" spans="13:13" x14ac:dyDescent="0.55000000000000004">
      <c r="M242"/>
    </row>
    <row r="243" spans="13:13" x14ac:dyDescent="0.55000000000000004">
      <c r="M243"/>
    </row>
    <row r="244" spans="13:13" x14ac:dyDescent="0.55000000000000004">
      <c r="M244"/>
    </row>
    <row r="245" spans="13:13" x14ac:dyDescent="0.55000000000000004">
      <c r="M245"/>
    </row>
    <row r="246" spans="13:13" x14ac:dyDescent="0.55000000000000004">
      <c r="M246"/>
    </row>
    <row r="247" spans="13:13" x14ac:dyDescent="0.55000000000000004">
      <c r="M247"/>
    </row>
    <row r="248" spans="13:13" x14ac:dyDescent="0.55000000000000004">
      <c r="M248"/>
    </row>
    <row r="249" spans="13:13" x14ac:dyDescent="0.55000000000000004">
      <c r="M249"/>
    </row>
    <row r="250" spans="13:13" x14ac:dyDescent="0.55000000000000004">
      <c r="M250"/>
    </row>
    <row r="251" spans="13:13" x14ac:dyDescent="0.55000000000000004">
      <c r="M251"/>
    </row>
    <row r="252" spans="13:13" x14ac:dyDescent="0.55000000000000004">
      <c r="M252"/>
    </row>
    <row r="253" spans="13:13" x14ac:dyDescent="0.55000000000000004">
      <c r="M253"/>
    </row>
    <row r="254" spans="13:13" x14ac:dyDescent="0.55000000000000004">
      <c r="M254"/>
    </row>
    <row r="255" spans="13:13" x14ac:dyDescent="0.55000000000000004">
      <c r="M255"/>
    </row>
    <row r="256" spans="13:13" x14ac:dyDescent="0.55000000000000004">
      <c r="M256"/>
    </row>
    <row r="257" spans="13:13" x14ac:dyDescent="0.55000000000000004">
      <c r="M257"/>
    </row>
    <row r="258" spans="13:13" x14ac:dyDescent="0.55000000000000004">
      <c r="M258"/>
    </row>
    <row r="259" spans="13:13" x14ac:dyDescent="0.55000000000000004">
      <c r="M259"/>
    </row>
    <row r="260" spans="13:13" x14ac:dyDescent="0.55000000000000004">
      <c r="M260"/>
    </row>
    <row r="261" spans="13:13" x14ac:dyDescent="0.55000000000000004">
      <c r="M261"/>
    </row>
    <row r="262" spans="13:13" x14ac:dyDescent="0.55000000000000004">
      <c r="M262"/>
    </row>
    <row r="263" spans="13:13" x14ac:dyDescent="0.55000000000000004">
      <c r="M263"/>
    </row>
    <row r="264" spans="13:13" x14ac:dyDescent="0.55000000000000004">
      <c r="M264"/>
    </row>
    <row r="265" spans="13:13" x14ac:dyDescent="0.55000000000000004">
      <c r="M265"/>
    </row>
    <row r="266" spans="13:13" x14ac:dyDescent="0.55000000000000004">
      <c r="M266"/>
    </row>
    <row r="267" spans="13:13" x14ac:dyDescent="0.55000000000000004">
      <c r="M267"/>
    </row>
    <row r="268" spans="13:13" x14ac:dyDescent="0.55000000000000004">
      <c r="M268"/>
    </row>
    <row r="269" spans="13:13" x14ac:dyDescent="0.55000000000000004">
      <c r="M269"/>
    </row>
    <row r="270" spans="13:13" x14ac:dyDescent="0.55000000000000004">
      <c r="M270"/>
    </row>
    <row r="271" spans="13:13" x14ac:dyDescent="0.55000000000000004">
      <c r="M271"/>
    </row>
    <row r="272" spans="13:13" x14ac:dyDescent="0.55000000000000004">
      <c r="M272"/>
    </row>
    <row r="273" spans="13:13" x14ac:dyDescent="0.55000000000000004">
      <c r="M273"/>
    </row>
    <row r="274" spans="13:13" x14ac:dyDescent="0.55000000000000004">
      <c r="M274"/>
    </row>
    <row r="275" spans="13:13" x14ac:dyDescent="0.55000000000000004">
      <c r="M275"/>
    </row>
    <row r="276" spans="13:13" x14ac:dyDescent="0.55000000000000004">
      <c r="M276"/>
    </row>
    <row r="277" spans="13:13" x14ac:dyDescent="0.55000000000000004">
      <c r="M277"/>
    </row>
    <row r="278" spans="13:13" x14ac:dyDescent="0.55000000000000004">
      <c r="M278"/>
    </row>
    <row r="279" spans="13:13" x14ac:dyDescent="0.55000000000000004">
      <c r="M279"/>
    </row>
    <row r="280" spans="13:13" x14ac:dyDescent="0.55000000000000004">
      <c r="M280"/>
    </row>
    <row r="281" spans="13:13" x14ac:dyDescent="0.55000000000000004">
      <c r="M281"/>
    </row>
  </sheetData>
  <mergeCells count="90">
    <mergeCell ref="T93:U93"/>
    <mergeCell ref="V93:W93"/>
    <mergeCell ref="C7:C8"/>
    <mergeCell ref="C10:C11"/>
    <mergeCell ref="B91:L91"/>
    <mergeCell ref="B92:L92"/>
    <mergeCell ref="C93:D93"/>
    <mergeCell ref="E93:F93"/>
    <mergeCell ref="G93:H93"/>
    <mergeCell ref="I93:J93"/>
    <mergeCell ref="K93:L93"/>
    <mergeCell ref="B80:L80"/>
    <mergeCell ref="B81:L81"/>
    <mergeCell ref="C82:D82"/>
    <mergeCell ref="E82:F82"/>
    <mergeCell ref="G82:H82"/>
    <mergeCell ref="I82:J82"/>
    <mergeCell ref="K82:L82"/>
    <mergeCell ref="S14:T14"/>
    <mergeCell ref="U14:V14"/>
    <mergeCell ref="W14:X14"/>
    <mergeCell ref="Y14:Z14"/>
    <mergeCell ref="AA71:AB71"/>
    <mergeCell ref="O69:Y69"/>
    <mergeCell ref="O70:Y70"/>
    <mergeCell ref="P71:Q71"/>
    <mergeCell ref="R71:S71"/>
    <mergeCell ref="T71:U71"/>
    <mergeCell ref="V71:W71"/>
    <mergeCell ref="X71:Y71"/>
    <mergeCell ref="E2:Q2"/>
    <mergeCell ref="E14:F14"/>
    <mergeCell ref="G14:H14"/>
    <mergeCell ref="I14:J14"/>
    <mergeCell ref="K14:L14"/>
    <mergeCell ref="Q14:R14"/>
    <mergeCell ref="AH50:AI50"/>
    <mergeCell ref="Q21:R21"/>
    <mergeCell ref="S21:T21"/>
    <mergeCell ref="U21:V21"/>
    <mergeCell ref="Y21:Z21"/>
    <mergeCell ref="Q29:R29"/>
    <mergeCell ref="S29:T29"/>
    <mergeCell ref="U29:V29"/>
    <mergeCell ref="W29:X29"/>
    <mergeCell ref="W21:X21"/>
    <mergeCell ref="E54:G54"/>
    <mergeCell ref="C51:C52"/>
    <mergeCell ref="K21:L21"/>
    <mergeCell ref="F40:H40"/>
    <mergeCell ref="B40:D40"/>
    <mergeCell ref="D49:G49"/>
    <mergeCell ref="E21:F21"/>
    <mergeCell ref="K29:L29"/>
    <mergeCell ref="E29:F29"/>
    <mergeCell ref="G21:H21"/>
    <mergeCell ref="G29:H29"/>
    <mergeCell ref="I21:J21"/>
    <mergeCell ref="I29:J29"/>
    <mergeCell ref="P93:Q93"/>
    <mergeCell ref="D3:D4"/>
    <mergeCell ref="O3:O4"/>
    <mergeCell ref="N7:N8"/>
    <mergeCell ref="N10:N11"/>
    <mergeCell ref="O91:Y91"/>
    <mergeCell ref="O92:Y92"/>
    <mergeCell ref="X93:Y93"/>
    <mergeCell ref="O80:Y80"/>
    <mergeCell ref="O81:Y81"/>
    <mergeCell ref="P82:Q82"/>
    <mergeCell ref="R82:S82"/>
    <mergeCell ref="T82:U82"/>
    <mergeCell ref="V82:W82"/>
    <mergeCell ref="X82:Y82"/>
    <mergeCell ref="R93:S93"/>
    <mergeCell ref="E60:G60"/>
    <mergeCell ref="K71:L71"/>
    <mergeCell ref="B70:L70"/>
    <mergeCell ref="B69:L69"/>
    <mergeCell ref="C71:D71"/>
    <mergeCell ref="E71:F71"/>
    <mergeCell ref="G71:H71"/>
    <mergeCell ref="I71:J71"/>
    <mergeCell ref="AH58:AI58"/>
    <mergeCell ref="AH60:AI60"/>
    <mergeCell ref="AH68:AI68"/>
    <mergeCell ref="AA82:AB82"/>
    <mergeCell ref="AA93:AB93"/>
    <mergeCell ref="AH70:AI70"/>
    <mergeCell ref="AH78:AI78"/>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1D4C1-8AB5-47C3-AC1E-8C6854F47605}">
  <dimension ref="A2:Y113"/>
  <sheetViews>
    <sheetView zoomScale="130" zoomScaleNormal="130" workbookViewId="0">
      <selection activeCell="L15" sqref="L15"/>
    </sheetView>
  </sheetViews>
  <sheetFormatPr defaultRowHeight="14.4" x14ac:dyDescent="0.55000000000000004"/>
  <cols>
    <col min="1" max="1" width="14.7890625" customWidth="1"/>
    <col min="2" max="2" width="10.68359375" customWidth="1"/>
    <col min="3" max="3" width="15" customWidth="1"/>
    <col min="4" max="4" width="45.7890625" customWidth="1"/>
    <col min="5" max="5" width="14.1015625" customWidth="1"/>
    <col min="6" max="6" width="14" customWidth="1"/>
    <col min="7" max="7" width="12.20703125" customWidth="1"/>
    <col min="8" max="8" width="17.1015625" customWidth="1"/>
    <col min="9" max="9" width="17.89453125" customWidth="1"/>
    <col min="10" max="13" width="17.5234375" customWidth="1"/>
    <col min="14" max="15" width="2" style="221" customWidth="1"/>
    <col min="17" max="17" width="7.20703125" customWidth="1"/>
    <col min="18" max="18" width="51.20703125" bestFit="1" customWidth="1"/>
    <col min="19" max="19" width="9.1015625" bestFit="1" customWidth="1"/>
    <col min="20" max="20" width="12.3125" customWidth="1"/>
    <col min="21" max="21" width="7.68359375" customWidth="1"/>
    <col min="22" max="23" width="17" customWidth="1"/>
    <col min="24" max="24" width="10.68359375" customWidth="1"/>
    <col min="25" max="25" width="11.20703125" bestFit="1" customWidth="1"/>
  </cols>
  <sheetData>
    <row r="2" spans="2:25" x14ac:dyDescent="0.55000000000000004">
      <c r="D2" s="304" t="s">
        <v>487</v>
      </c>
      <c r="E2" s="304"/>
      <c r="F2" s="304"/>
      <c r="G2" s="304"/>
      <c r="H2" s="304"/>
      <c r="I2" s="304"/>
      <c r="J2" s="232"/>
      <c r="K2" s="232"/>
      <c r="L2" s="232"/>
      <c r="M2" s="232"/>
      <c r="Q2" s="304" t="s">
        <v>488</v>
      </c>
      <c r="R2" s="304"/>
      <c r="S2" s="304"/>
      <c r="T2" s="304"/>
      <c r="U2" s="304"/>
      <c r="V2" s="304"/>
      <c r="W2" s="304"/>
      <c r="X2" s="304"/>
    </row>
    <row r="3" spans="2:25" ht="43.2" x14ac:dyDescent="0.55000000000000004">
      <c r="B3" s="9" t="s">
        <v>85</v>
      </c>
      <c r="C3" s="21" t="s">
        <v>444</v>
      </c>
      <c r="D3" s="21" t="s">
        <v>445</v>
      </c>
      <c r="E3" s="21" t="s">
        <v>447</v>
      </c>
      <c r="F3" s="21" t="s">
        <v>443</v>
      </c>
      <c r="G3" s="21" t="s">
        <v>441</v>
      </c>
      <c r="H3" s="21" t="s">
        <v>448</v>
      </c>
      <c r="I3" s="21" t="s">
        <v>479</v>
      </c>
      <c r="J3" s="21" t="s">
        <v>449</v>
      </c>
      <c r="K3" s="21" t="s">
        <v>477</v>
      </c>
      <c r="L3" s="21"/>
      <c r="M3" s="21"/>
      <c r="N3" s="222"/>
      <c r="O3" s="222"/>
      <c r="P3" s="21" t="s">
        <v>85</v>
      </c>
      <c r="Q3" s="21" t="s">
        <v>444</v>
      </c>
      <c r="R3" s="21" t="s">
        <v>445</v>
      </c>
      <c r="S3" s="21" t="s">
        <v>447</v>
      </c>
      <c r="T3" s="21" t="s">
        <v>443</v>
      </c>
      <c r="U3" s="21" t="s">
        <v>441</v>
      </c>
      <c r="V3" s="21" t="s">
        <v>448</v>
      </c>
      <c r="W3" s="21" t="s">
        <v>479</v>
      </c>
      <c r="X3" s="21" t="s">
        <v>449</v>
      </c>
      <c r="Y3" s="21" t="s">
        <v>477</v>
      </c>
    </row>
    <row r="4" spans="2:25" x14ac:dyDescent="0.55000000000000004">
      <c r="B4" s="3" t="s">
        <v>451</v>
      </c>
      <c r="C4">
        <v>56211</v>
      </c>
      <c r="D4" t="s">
        <v>446</v>
      </c>
      <c r="E4" s="131">
        <v>72445</v>
      </c>
      <c r="F4" s="131">
        <v>229442</v>
      </c>
      <c r="G4" s="131">
        <v>16028</v>
      </c>
      <c r="H4" s="201">
        <f>E4/F4</f>
        <v>0.31574428395847315</v>
      </c>
      <c r="I4" s="137">
        <f>G4/F4</f>
        <v>6.9856434305837642E-2</v>
      </c>
      <c r="J4" s="223">
        <f>G4/E4</f>
        <v>0.22124370211884878</v>
      </c>
      <c r="K4" s="233">
        <f>(G4/F4)*1000000</f>
        <v>69856.43430583764</v>
      </c>
      <c r="L4" s="233"/>
      <c r="M4" s="233"/>
      <c r="P4" s="3" t="s">
        <v>451</v>
      </c>
      <c r="Q4">
        <v>56211</v>
      </c>
      <c r="R4" t="s">
        <v>450</v>
      </c>
      <c r="S4" s="7">
        <v>1991</v>
      </c>
      <c r="T4" s="7">
        <v>7390</v>
      </c>
      <c r="U4" s="7">
        <v>440</v>
      </c>
      <c r="V4" s="137">
        <f>S4/T4</f>
        <v>0.26941813261163733</v>
      </c>
      <c r="W4" s="137">
        <f>U4/T4</f>
        <v>5.9539918809201627E-2</v>
      </c>
      <c r="X4" s="190">
        <f>U4/S4</f>
        <v>0.22099447513812154</v>
      </c>
      <c r="Y4" s="233">
        <f>(U4/T4)*1000000</f>
        <v>59539.918809201627</v>
      </c>
    </row>
    <row r="5" spans="2:25" x14ac:dyDescent="0.55000000000000004">
      <c r="B5" s="3" t="s">
        <v>451</v>
      </c>
      <c r="C5">
        <v>56221</v>
      </c>
      <c r="D5" s="122" t="s">
        <v>454</v>
      </c>
      <c r="E5" s="131">
        <v>22949</v>
      </c>
      <c r="F5" s="131">
        <v>59383</v>
      </c>
      <c r="G5" s="131">
        <v>4828</v>
      </c>
      <c r="H5" s="201">
        <f>E5/F5</f>
        <v>0.38645740363403669</v>
      </c>
      <c r="I5" s="137">
        <f t="shared" ref="I5:I19" si="0">G5/F5</f>
        <v>8.1302729737466953E-2</v>
      </c>
      <c r="J5" s="223">
        <f>G5/E5</f>
        <v>0.2103795372347379</v>
      </c>
      <c r="K5" s="233">
        <f>(G5/F5)*1000000</f>
        <v>81302.729737466958</v>
      </c>
      <c r="L5" s="233"/>
      <c r="M5" s="233"/>
      <c r="P5" s="3" t="s">
        <v>451</v>
      </c>
      <c r="Q5">
        <v>56221</v>
      </c>
      <c r="R5" s="122" t="s">
        <v>455</v>
      </c>
      <c r="S5" s="7">
        <v>376</v>
      </c>
      <c r="T5" s="7">
        <v>1223</v>
      </c>
      <c r="U5" s="7">
        <v>78.900000000000006</v>
      </c>
      <c r="V5" s="137">
        <f>S5/T5</f>
        <v>0.30744071954210955</v>
      </c>
      <c r="W5" s="137">
        <f>U5/T5</f>
        <v>6.4513491414554383E-2</v>
      </c>
      <c r="X5" s="190">
        <f>U5/S5</f>
        <v>0.2098404255319149</v>
      </c>
      <c r="Y5" s="233">
        <f t="shared" ref="Y5:Y12" si="1">(U5/T5)*1000000</f>
        <v>64513.491414554381</v>
      </c>
    </row>
    <row r="6" spans="2:25" x14ac:dyDescent="0.55000000000000004">
      <c r="B6" s="3" t="s">
        <v>451</v>
      </c>
      <c r="C6">
        <v>56292</v>
      </c>
      <c r="D6" t="s">
        <v>452</v>
      </c>
      <c r="E6" s="7">
        <v>8186</v>
      </c>
      <c r="F6" s="7">
        <v>21826</v>
      </c>
      <c r="G6" s="7">
        <v>1189</v>
      </c>
      <c r="H6" s="201">
        <f>E6/F6</f>
        <v>0.37505727114450654</v>
      </c>
      <c r="I6" s="137">
        <f t="shared" si="0"/>
        <v>5.4476312654632091E-2</v>
      </c>
      <c r="J6" s="223">
        <f>G6/E6</f>
        <v>0.14524798436354752</v>
      </c>
      <c r="K6" s="233">
        <f>(G6/F6)*1000000</f>
        <v>54476.312654632093</v>
      </c>
      <c r="L6" s="233"/>
      <c r="M6" s="233"/>
      <c r="P6" s="3" t="s">
        <v>451</v>
      </c>
      <c r="Q6">
        <v>56292</v>
      </c>
      <c r="R6" t="s">
        <v>453</v>
      </c>
      <c r="S6">
        <v>160</v>
      </c>
      <c r="T6">
        <v>513</v>
      </c>
      <c r="U6">
        <v>23.3</v>
      </c>
      <c r="V6" s="137">
        <f>S6/T6</f>
        <v>0.31189083820662766</v>
      </c>
      <c r="W6" s="137">
        <f t="shared" ref="W6:W12" si="2">U6/T6</f>
        <v>4.5419103313840158E-2</v>
      </c>
      <c r="X6" s="190">
        <f>U6/S6</f>
        <v>0.145625</v>
      </c>
      <c r="Y6" s="233">
        <f t="shared" si="1"/>
        <v>45419.103313840154</v>
      </c>
    </row>
    <row r="8" spans="2:25" x14ac:dyDescent="0.55000000000000004">
      <c r="B8" s="3" t="s">
        <v>451</v>
      </c>
      <c r="C8">
        <v>32611</v>
      </c>
      <c r="D8" t="s">
        <v>460</v>
      </c>
      <c r="E8" s="7">
        <v>47270</v>
      </c>
      <c r="F8" s="7">
        <v>101846</v>
      </c>
      <c r="G8" s="7">
        <v>6947</v>
      </c>
      <c r="H8" s="201">
        <f t="shared" ref="H8:H12" si="3">E8/F8</f>
        <v>0.46413212104550006</v>
      </c>
      <c r="I8" s="137">
        <f t="shared" si="0"/>
        <v>6.8210828113033403E-2</v>
      </c>
      <c r="J8" s="223">
        <f t="shared" ref="J8:J13" si="4">G8/E8</f>
        <v>0.146964247937381</v>
      </c>
      <c r="K8" s="233">
        <f t="shared" ref="K8:K13" si="5">(G8/F8)*1000000</f>
        <v>68210.828113033407</v>
      </c>
      <c r="L8" s="233"/>
      <c r="M8" s="233"/>
      <c r="P8" s="3" t="s">
        <v>451</v>
      </c>
      <c r="Q8">
        <v>32611</v>
      </c>
      <c r="R8" t="s">
        <v>461</v>
      </c>
      <c r="S8" s="7">
        <v>656</v>
      </c>
      <c r="T8" s="7">
        <v>1651</v>
      </c>
      <c r="U8" s="7">
        <v>96.4</v>
      </c>
      <c r="V8" s="137">
        <f t="shared" ref="V8:V13" si="6">S8/T8</f>
        <v>0.39733494851605089</v>
      </c>
      <c r="W8" s="137">
        <f t="shared" si="2"/>
        <v>5.8388855239248943E-2</v>
      </c>
      <c r="X8" s="190">
        <f t="shared" ref="X8:X13" si="7">U8/S8</f>
        <v>0.14695121951219514</v>
      </c>
      <c r="Y8" s="233">
        <f t="shared" si="1"/>
        <v>58388.855239248944</v>
      </c>
    </row>
    <row r="9" spans="2:25" x14ac:dyDescent="0.55000000000000004">
      <c r="B9" s="3" t="s">
        <v>451</v>
      </c>
      <c r="C9">
        <v>32612</v>
      </c>
      <c r="D9" t="s">
        <v>459</v>
      </c>
      <c r="E9" s="7">
        <v>24230</v>
      </c>
      <c r="F9" s="7">
        <v>42414</v>
      </c>
      <c r="G9" s="7">
        <v>2783</v>
      </c>
      <c r="H9" s="201">
        <f t="shared" si="3"/>
        <v>0.57127363606356396</v>
      </c>
      <c r="I9" s="137">
        <f t="shared" si="0"/>
        <v>6.5615127080680902E-2</v>
      </c>
      <c r="J9" s="223">
        <f t="shared" si="4"/>
        <v>0.11485761452744532</v>
      </c>
      <c r="K9" s="233">
        <f t="shared" si="5"/>
        <v>65615.127080680904</v>
      </c>
      <c r="L9" s="233"/>
      <c r="M9" s="233"/>
      <c r="P9" s="3" t="s">
        <v>451</v>
      </c>
      <c r="Q9">
        <v>32612</v>
      </c>
      <c r="R9" t="s">
        <v>462</v>
      </c>
      <c r="S9" s="7">
        <v>914</v>
      </c>
      <c r="T9" s="7">
        <v>2442</v>
      </c>
      <c r="U9" s="7">
        <v>106</v>
      </c>
      <c r="V9" s="137">
        <f t="shared" si="6"/>
        <v>0.37428337428337427</v>
      </c>
      <c r="W9" s="137">
        <f t="shared" si="2"/>
        <v>4.3407043407043405E-2</v>
      </c>
      <c r="X9" s="190">
        <f t="shared" si="7"/>
        <v>0.11597374179431072</v>
      </c>
      <c r="Y9" s="233">
        <f t="shared" si="1"/>
        <v>43407.043407043406</v>
      </c>
    </row>
    <row r="10" spans="2:25" x14ac:dyDescent="0.55000000000000004">
      <c r="B10" s="3" t="s">
        <v>451</v>
      </c>
      <c r="C10">
        <v>32613</v>
      </c>
      <c r="D10" t="s">
        <v>458</v>
      </c>
      <c r="E10" s="7">
        <v>4979</v>
      </c>
      <c r="F10" s="7">
        <v>13625</v>
      </c>
      <c r="G10" s="7">
        <v>936</v>
      </c>
      <c r="H10" s="201">
        <f t="shared" si="3"/>
        <v>0.36543119266055046</v>
      </c>
      <c r="I10" s="137">
        <f t="shared" si="0"/>
        <v>6.8697247706422021E-2</v>
      </c>
      <c r="J10" s="223">
        <f t="shared" si="4"/>
        <v>0.18798955613577023</v>
      </c>
      <c r="K10" s="233">
        <f t="shared" si="5"/>
        <v>68697.247706422015</v>
      </c>
      <c r="L10" s="233"/>
      <c r="M10" s="233"/>
      <c r="P10" s="3" t="s">
        <v>451</v>
      </c>
      <c r="Q10">
        <v>32613</v>
      </c>
      <c r="R10" t="s">
        <v>463</v>
      </c>
      <c r="S10" s="7">
        <v>385</v>
      </c>
      <c r="T10" s="7">
        <v>1057</v>
      </c>
      <c r="U10" s="7">
        <v>72.5</v>
      </c>
      <c r="V10" s="137">
        <f t="shared" si="6"/>
        <v>0.36423841059602646</v>
      </c>
      <c r="W10" s="137">
        <f t="shared" si="2"/>
        <v>6.8590350047303683E-2</v>
      </c>
      <c r="X10" s="190">
        <f t="shared" si="7"/>
        <v>0.18831168831168832</v>
      </c>
      <c r="Y10" s="233">
        <f t="shared" si="1"/>
        <v>68590.350047303684</v>
      </c>
    </row>
    <row r="11" spans="2:25" x14ac:dyDescent="0.55000000000000004">
      <c r="B11" s="3" t="s">
        <v>451</v>
      </c>
      <c r="C11">
        <v>32616</v>
      </c>
      <c r="D11" t="s">
        <v>457</v>
      </c>
      <c r="E11" s="7">
        <v>14056</v>
      </c>
      <c r="F11" s="7">
        <v>33312</v>
      </c>
      <c r="G11" s="7">
        <v>2006</v>
      </c>
      <c r="H11" s="201">
        <f t="shared" si="3"/>
        <v>0.42195004803073966</v>
      </c>
      <c r="I11" s="137">
        <f t="shared" si="0"/>
        <v>6.0218539865513926E-2</v>
      </c>
      <c r="J11" s="223">
        <f t="shared" si="4"/>
        <v>0.1427148548662493</v>
      </c>
      <c r="K11" s="233">
        <f t="shared" si="5"/>
        <v>60218.539865513929</v>
      </c>
      <c r="L11" s="233"/>
      <c r="M11" s="233"/>
      <c r="P11" s="3" t="s">
        <v>451</v>
      </c>
      <c r="Q11">
        <v>32616</v>
      </c>
      <c r="R11" t="s">
        <v>464</v>
      </c>
      <c r="S11" s="7">
        <v>164</v>
      </c>
      <c r="T11" s="7">
        <v>426</v>
      </c>
      <c r="U11" s="7">
        <v>23.4</v>
      </c>
      <c r="V11" s="137">
        <f t="shared" si="6"/>
        <v>0.38497652582159625</v>
      </c>
      <c r="W11" s="137">
        <f t="shared" si="2"/>
        <v>5.4929577464788729E-2</v>
      </c>
      <c r="X11" s="190">
        <f t="shared" si="7"/>
        <v>0.14268292682926828</v>
      </c>
      <c r="Y11" s="233">
        <f t="shared" si="1"/>
        <v>54929.57746478873</v>
      </c>
    </row>
    <row r="12" spans="2:25" x14ac:dyDescent="0.55000000000000004">
      <c r="B12" s="3" t="s">
        <v>451</v>
      </c>
      <c r="C12">
        <v>32619</v>
      </c>
      <c r="D12" t="s">
        <v>456</v>
      </c>
      <c r="E12" s="7">
        <v>124940</v>
      </c>
      <c r="F12" s="7">
        <v>405276</v>
      </c>
      <c r="G12" s="7">
        <v>22557</v>
      </c>
      <c r="H12" s="201">
        <f t="shared" si="3"/>
        <v>0.30828373750234406</v>
      </c>
      <c r="I12" s="137">
        <f t="shared" si="0"/>
        <v>5.565836615047523E-2</v>
      </c>
      <c r="J12" s="223">
        <f t="shared" si="4"/>
        <v>0.18054266047702897</v>
      </c>
      <c r="K12" s="233">
        <f t="shared" si="5"/>
        <v>55658.366150475231</v>
      </c>
      <c r="L12" s="233"/>
      <c r="M12" s="233"/>
      <c r="P12" s="3" t="s">
        <v>451</v>
      </c>
      <c r="Q12">
        <v>32619</v>
      </c>
      <c r="R12" t="s">
        <v>465</v>
      </c>
      <c r="S12" s="7">
        <v>9608</v>
      </c>
      <c r="T12" s="7">
        <v>37848</v>
      </c>
      <c r="U12" s="7">
        <v>1734</v>
      </c>
      <c r="V12" s="137">
        <f t="shared" si="6"/>
        <v>0.25385753540477701</v>
      </c>
      <c r="W12" s="137">
        <f t="shared" si="2"/>
        <v>4.5814838300570704E-2</v>
      </c>
      <c r="X12" s="190">
        <f t="shared" si="7"/>
        <v>0.18047460449625313</v>
      </c>
      <c r="Y12" s="233">
        <f t="shared" si="1"/>
        <v>45814.838300570707</v>
      </c>
    </row>
    <row r="13" spans="2:25" x14ac:dyDescent="0.55000000000000004">
      <c r="C13" s="292" t="s">
        <v>476</v>
      </c>
      <c r="D13" s="292"/>
      <c r="E13" s="8">
        <f>SUM(E8:E12)</f>
        <v>215475</v>
      </c>
      <c r="F13" s="8">
        <f>SUM(F8:F12)</f>
        <v>596473</v>
      </c>
      <c r="G13" s="8">
        <f>SUM(G8:G12)</f>
        <v>35229</v>
      </c>
      <c r="H13" s="137">
        <f>E13/F13</f>
        <v>0.36124853933036366</v>
      </c>
      <c r="I13" s="137">
        <f>G13/F13</f>
        <v>5.9062187223897812E-2</v>
      </c>
      <c r="J13" s="13">
        <f t="shared" si="4"/>
        <v>0.16349460494256873</v>
      </c>
      <c r="K13" s="233">
        <f t="shared" si="5"/>
        <v>59062.18722389781</v>
      </c>
      <c r="L13" s="233"/>
      <c r="M13" s="233"/>
      <c r="Q13" s="292" t="s">
        <v>476</v>
      </c>
      <c r="R13" s="292"/>
      <c r="S13" s="8">
        <f>SUM(S8:S12)</f>
        <v>11727</v>
      </c>
      <c r="T13" s="8">
        <f>SUM(T8:T12)</f>
        <v>43424</v>
      </c>
      <c r="U13" s="8">
        <f>SUM(U8:U12)</f>
        <v>2032.3</v>
      </c>
      <c r="V13" s="137">
        <f t="shared" si="6"/>
        <v>0.27005803242446574</v>
      </c>
      <c r="W13" s="137">
        <f>U13/T13</f>
        <v>4.6801308032424466E-2</v>
      </c>
      <c r="X13" s="13">
        <f t="shared" si="7"/>
        <v>0.17330092947898013</v>
      </c>
      <c r="Y13" s="233">
        <f>(U13/T13)*1000000</f>
        <v>46801.308032424466</v>
      </c>
    </row>
    <row r="14" spans="2:25" x14ac:dyDescent="0.55000000000000004">
      <c r="V14" s="137"/>
      <c r="W14" s="137"/>
    </row>
    <row r="15" spans="2:25" x14ac:dyDescent="0.55000000000000004">
      <c r="B15" s="3" t="s">
        <v>451</v>
      </c>
      <c r="C15">
        <v>32521</v>
      </c>
      <c r="D15" t="s">
        <v>484</v>
      </c>
      <c r="E15" s="8">
        <v>107252</v>
      </c>
      <c r="F15" s="8">
        <v>80640</v>
      </c>
      <c r="G15" s="8">
        <v>8538</v>
      </c>
      <c r="H15" s="201">
        <f>E15/F15</f>
        <v>1.3300099206349207</v>
      </c>
      <c r="I15" s="137">
        <f t="shared" si="0"/>
        <v>0.10587797619047619</v>
      </c>
      <c r="J15" s="223">
        <f>G15/E15</f>
        <v>7.9606907097303545E-2</v>
      </c>
      <c r="K15" s="233">
        <f>(G15/F15)*1000000</f>
        <v>105877.97619047618</v>
      </c>
      <c r="L15" s="233"/>
      <c r="M15" s="233"/>
      <c r="T15" s="168"/>
      <c r="V15" s="137"/>
      <c r="W15" s="137"/>
    </row>
    <row r="16" spans="2:25" x14ac:dyDescent="0.55000000000000004">
      <c r="B16" s="3" t="s">
        <v>451</v>
      </c>
      <c r="C16">
        <v>21111</v>
      </c>
      <c r="D16" t="s">
        <v>498</v>
      </c>
      <c r="E16" s="8">
        <v>421106</v>
      </c>
      <c r="F16" s="8">
        <v>162230</v>
      </c>
      <c r="G16" s="8">
        <v>18999</v>
      </c>
      <c r="H16" s="201">
        <f>E16/F16</f>
        <v>2.5957344510879614</v>
      </c>
      <c r="I16" s="137">
        <f t="shared" si="0"/>
        <v>0.11711150835233927</v>
      </c>
      <c r="J16" s="223">
        <f>G16/E16</f>
        <v>4.5116906432109728E-2</v>
      </c>
      <c r="K16" s="233">
        <f>(G16/F16)*1000000</f>
        <v>117111.50835233927</v>
      </c>
      <c r="L16" s="233"/>
      <c r="M16" s="233"/>
      <c r="V16" s="137"/>
      <c r="W16" s="137"/>
    </row>
    <row r="17" spans="1:23" x14ac:dyDescent="0.55000000000000004">
      <c r="B17" s="3" t="s">
        <v>451</v>
      </c>
      <c r="C17" s="118" t="s">
        <v>500</v>
      </c>
      <c r="D17" t="s">
        <v>501</v>
      </c>
      <c r="E17" s="8">
        <v>80197</v>
      </c>
      <c r="F17" s="8">
        <v>12780</v>
      </c>
      <c r="G17" s="8">
        <v>1743</v>
      </c>
      <c r="H17" s="201">
        <f>E17/F17</f>
        <v>6.275195618153365</v>
      </c>
      <c r="I17" s="137">
        <f t="shared" si="0"/>
        <v>0.1363849765258216</v>
      </c>
      <c r="J17" s="223">
        <f>G17/E17</f>
        <v>2.173398007406761E-2</v>
      </c>
      <c r="K17" s="233">
        <f>(G17/F17)*1000000</f>
        <v>136384.97652582161</v>
      </c>
      <c r="L17" s="233"/>
      <c r="M17" s="233"/>
      <c r="V17" s="137"/>
      <c r="W17" s="137"/>
    </row>
    <row r="18" spans="1:23" x14ac:dyDescent="0.55000000000000004">
      <c r="B18" s="3" t="s">
        <v>451</v>
      </c>
      <c r="C18">
        <v>32411</v>
      </c>
      <c r="D18" t="s">
        <v>499</v>
      </c>
      <c r="E18" s="8">
        <v>651528</v>
      </c>
      <c r="F18" s="8">
        <v>64334</v>
      </c>
      <c r="G18" s="8">
        <v>9721</v>
      </c>
      <c r="H18" s="201">
        <f>E18/F18</f>
        <v>10.127273292504741</v>
      </c>
      <c r="I18" s="137">
        <f t="shared" si="0"/>
        <v>0.15110206111853763</v>
      </c>
      <c r="J18" s="223">
        <f>G18/E18</f>
        <v>1.4920310408762171E-2</v>
      </c>
      <c r="K18" s="233">
        <f>(G18/F18)*1000000</f>
        <v>151102.06111853765</v>
      </c>
      <c r="L18" s="233"/>
      <c r="M18" s="233"/>
      <c r="V18" s="137"/>
      <c r="W18" s="137"/>
    </row>
    <row r="19" spans="1:23" x14ac:dyDescent="0.55000000000000004">
      <c r="B19" s="3" t="s">
        <v>451</v>
      </c>
      <c r="C19">
        <v>32511</v>
      </c>
      <c r="D19" t="s">
        <v>502</v>
      </c>
      <c r="E19" s="8">
        <v>58153</v>
      </c>
      <c r="F19" s="8">
        <v>9966</v>
      </c>
      <c r="G19" s="8">
        <v>1515</v>
      </c>
      <c r="H19" s="201">
        <f>E19/F19</f>
        <v>5.8351394742123217</v>
      </c>
      <c r="I19" s="137">
        <f t="shared" si="0"/>
        <v>0.15201685731487055</v>
      </c>
      <c r="J19" s="223">
        <f>G19/E19</f>
        <v>2.6051966364589962E-2</v>
      </c>
      <c r="K19" s="233">
        <f>(G19/F19)*1000000</f>
        <v>152016.85731487055</v>
      </c>
      <c r="L19" s="233"/>
      <c r="M19" s="233"/>
      <c r="V19" s="231"/>
      <c r="W19" s="231"/>
    </row>
    <row r="21" spans="1:23" x14ac:dyDescent="0.55000000000000004">
      <c r="D21" s="21"/>
      <c r="E21" s="21"/>
      <c r="F21" s="21"/>
    </row>
    <row r="22" spans="1:23" x14ac:dyDescent="0.55000000000000004">
      <c r="C22" t="s">
        <v>534</v>
      </c>
      <c r="D22" t="s">
        <v>535</v>
      </c>
      <c r="E22" s="7">
        <f>(0.5*E19)+E15</f>
        <v>136328.5</v>
      </c>
      <c r="F22" s="7">
        <f>(0.5*F19)+F15</f>
        <v>85623</v>
      </c>
      <c r="G22" s="7">
        <f>(0.5*G19)+G15</f>
        <v>9295.5</v>
      </c>
      <c r="H22" s="201">
        <f>E22/F22</f>
        <v>1.5921948541863751</v>
      </c>
      <c r="I22" s="137">
        <f>G22/F22</f>
        <v>0.10856311972250447</v>
      </c>
      <c r="J22" s="223">
        <f>G22/E22</f>
        <v>6.8184568890584135E-2</v>
      </c>
      <c r="K22" s="233">
        <f>(G22/F22)*1000000</f>
        <v>108563.11972250447</v>
      </c>
      <c r="L22" s="233"/>
      <c r="M22" s="233"/>
    </row>
    <row r="23" spans="1:23" x14ac:dyDescent="0.55000000000000004">
      <c r="D23" s="7"/>
      <c r="E23" s="7"/>
      <c r="F23" s="8"/>
    </row>
    <row r="24" spans="1:23" x14ac:dyDescent="0.55000000000000004">
      <c r="D24" s="7"/>
      <c r="E24" s="7"/>
      <c r="F24" s="8"/>
    </row>
    <row r="25" spans="1:23" x14ac:dyDescent="0.55000000000000004">
      <c r="D25" s="7"/>
      <c r="E25" s="7"/>
      <c r="F25" s="8"/>
    </row>
    <row r="26" spans="1:23" x14ac:dyDescent="0.55000000000000004">
      <c r="C26" s="10"/>
      <c r="D26" s="8"/>
      <c r="E26" s="8"/>
      <c r="F26" s="8"/>
    </row>
    <row r="27" spans="1:23" x14ac:dyDescent="0.55000000000000004">
      <c r="F27" s="8"/>
      <c r="G27" s="8"/>
    </row>
    <row r="28" spans="1:23" ht="43.2" x14ac:dyDescent="0.55000000000000004">
      <c r="A28" s="170" t="s">
        <v>558</v>
      </c>
      <c r="B28" s="11"/>
      <c r="D28" s="247"/>
      <c r="F28" s="168"/>
      <c r="G28" s="257"/>
    </row>
    <row r="29" spans="1:23" ht="57.6" x14ac:dyDescent="0.55000000000000004">
      <c r="A29" s="170" t="s">
        <v>536</v>
      </c>
      <c r="B29" s="5">
        <f>121457*0.000453592</f>
        <v>55.091923544000004</v>
      </c>
      <c r="C29" t="s">
        <v>161</v>
      </c>
      <c r="G29" s="5"/>
      <c r="H29" s="7"/>
    </row>
    <row r="30" spans="1:23" x14ac:dyDescent="0.55000000000000004">
      <c r="E30" s="204"/>
      <c r="F30" s="200"/>
      <c r="H30" s="8"/>
    </row>
    <row r="31" spans="1:23" x14ac:dyDescent="0.55000000000000004">
      <c r="A31" t="s">
        <v>559</v>
      </c>
      <c r="B31" s="200">
        <f>F22/(B29*10^6)</f>
        <v>1.5541842522818409E-3</v>
      </c>
      <c r="F31" s="11"/>
      <c r="H31" s="8"/>
    </row>
    <row r="32" spans="1:23" x14ac:dyDescent="0.55000000000000004">
      <c r="A32" t="s">
        <v>560</v>
      </c>
      <c r="B32" s="8">
        <f>E22/B29</f>
        <v>2474.5641689406466</v>
      </c>
      <c r="D32" s="1" t="s">
        <v>548</v>
      </c>
      <c r="E32" s="292" t="s">
        <v>486</v>
      </c>
      <c r="F32" s="292"/>
      <c r="G32" s="292"/>
      <c r="H32" s="292" t="s">
        <v>547</v>
      </c>
      <c r="I32" s="292"/>
      <c r="J32" s="292"/>
      <c r="K32" s="292" t="s">
        <v>551</v>
      </c>
      <c r="L32" s="292"/>
      <c r="M32" s="292"/>
    </row>
    <row r="33" spans="1:13" ht="28.8" x14ac:dyDescent="0.55000000000000004">
      <c r="A33" t="s">
        <v>561</v>
      </c>
      <c r="B33" s="8">
        <f>G22/B29</f>
        <v>168.7270910513046</v>
      </c>
      <c r="C33" s="10" t="s">
        <v>546</v>
      </c>
      <c r="D33" s="9" t="s">
        <v>485</v>
      </c>
      <c r="E33" s="21" t="s">
        <v>543</v>
      </c>
      <c r="F33" s="9" t="s">
        <v>542</v>
      </c>
      <c r="G33" s="21" t="s">
        <v>544</v>
      </c>
      <c r="H33" s="21" t="s">
        <v>543</v>
      </c>
      <c r="I33" s="9" t="s">
        <v>542</v>
      </c>
      <c r="J33" s="21" t="s">
        <v>544</v>
      </c>
      <c r="K33" s="21" t="s">
        <v>543</v>
      </c>
      <c r="L33" s="9" t="s">
        <v>542</v>
      </c>
      <c r="M33" s="21" t="s">
        <v>544</v>
      </c>
    </row>
    <row r="34" spans="1:13" x14ac:dyDescent="0.55000000000000004">
      <c r="C34" t="s">
        <v>3</v>
      </c>
      <c r="D34" s="137">
        <v>4.5214046999999997</v>
      </c>
      <c r="E34" s="8">
        <f>$B$31*D34*10^6</f>
        <v>7027.0959829331014</v>
      </c>
      <c r="F34" s="116">
        <f>E68*$D$34*10^6</f>
        <v>805.5634338708187</v>
      </c>
      <c r="G34" s="8">
        <f>SUM(E34:F34)</f>
        <v>7832.6594168039201</v>
      </c>
      <c r="H34" s="8">
        <f>D34*B32*10^6</f>
        <v>11188506063.899834</v>
      </c>
      <c r="I34" s="7">
        <f>D34*E75*10^6</f>
        <v>3854863088.4761834</v>
      </c>
      <c r="J34" s="8">
        <f>SUM(H34:I34)</f>
        <v>15043369152.376017</v>
      </c>
      <c r="K34" s="8">
        <f>D34*$B$33*10^6</f>
        <v>762883462.49669659</v>
      </c>
      <c r="L34" s="8">
        <f>D34*10^6*E82</f>
        <v>102393481.42125294</v>
      </c>
      <c r="M34" s="8">
        <f>SUM(K34:L34)</f>
        <v>865276943.91794956</v>
      </c>
    </row>
    <row r="35" spans="1:13" x14ac:dyDescent="0.55000000000000004">
      <c r="A35" s="13"/>
      <c r="C35" t="s">
        <v>1</v>
      </c>
      <c r="D35">
        <v>10.045</v>
      </c>
      <c r="E35" s="8">
        <f>$B$31*D35*10^6</f>
        <v>15611.780814171092</v>
      </c>
      <c r="F35" s="7">
        <f>D35*F68*10^6</f>
        <v>1767.2722743245267</v>
      </c>
      <c r="G35" s="8">
        <f>SUM(E35:F35)</f>
        <v>17379.053088495617</v>
      </c>
      <c r="H35" s="8">
        <f>D35*B32*10^6</f>
        <v>24856997077.008797</v>
      </c>
      <c r="I35" s="7">
        <f>D35*F75*10^6</f>
        <v>5960749560.7669649</v>
      </c>
      <c r="J35" s="8">
        <f>SUM(H35:I35)</f>
        <v>30817746637.775761</v>
      </c>
      <c r="K35" s="8">
        <f>D35*$B$33*10^6</f>
        <v>1694863629.6103547</v>
      </c>
      <c r="L35" s="8">
        <f>D35*10^6*F82</f>
        <v>213652438.58589262</v>
      </c>
      <c r="M35" s="8">
        <f>SUM(K35:L35)</f>
        <v>1908516068.1962473</v>
      </c>
    </row>
    <row r="36" spans="1:13" x14ac:dyDescent="0.55000000000000004">
      <c r="C36" t="s">
        <v>23</v>
      </c>
      <c r="D36">
        <v>12.693000000000001</v>
      </c>
      <c r="E36" s="8">
        <f>$B$31*D36*10^6</f>
        <v>19727.260714213411</v>
      </c>
      <c r="F36" s="7">
        <f>((0.73*D36*H68)+(0.27*D36*G68))*10^6</f>
        <v>2274.9231411525975</v>
      </c>
      <c r="G36" s="8">
        <f>SUM(E36:F36)</f>
        <v>22002.183855366009</v>
      </c>
      <c r="H36" s="8">
        <f>D36*B32*10^6</f>
        <v>31409642996.363628</v>
      </c>
      <c r="I36" s="7">
        <f>(0.73*D36*H75*10^6)+(0.27*D36*G75*10^6)</f>
        <v>7663834442.4937191</v>
      </c>
      <c r="J36" s="8">
        <f>SUM(H36:I36)</f>
        <v>39073477438.857346</v>
      </c>
      <c r="K36" s="8">
        <f>D36*$B$33*10^6</f>
        <v>2141652966.7142096</v>
      </c>
      <c r="L36" s="8">
        <f>(0.73*D36*10^6*H82)+(0.27*D36*10^6*G82)</f>
        <v>274984090.76327878</v>
      </c>
      <c r="M36" s="8">
        <f>SUM(K36:L36)</f>
        <v>2416637057.4774885</v>
      </c>
    </row>
    <row r="37" spans="1:13" x14ac:dyDescent="0.55000000000000004">
      <c r="C37" t="s">
        <v>2</v>
      </c>
      <c r="D37">
        <v>7.6479999999999997</v>
      </c>
      <c r="E37" s="8">
        <f>$B$31*D37*10^6</f>
        <v>11886.401161451518</v>
      </c>
      <c r="F37" s="7">
        <f>D37*I68*10^6</f>
        <v>1425.4482199070253</v>
      </c>
      <c r="G37" s="8">
        <f>SUM(E37:F37)</f>
        <v>13311.849381358545</v>
      </c>
      <c r="H37" s="8">
        <f>D37*B32*10^6</f>
        <v>18925466764.058064</v>
      </c>
      <c r="I37" s="7">
        <f>D37*I75*10^6</f>
        <v>4976386947.4999342</v>
      </c>
      <c r="J37" s="8">
        <f>SUM(H37:I37)</f>
        <v>23901853711.557999</v>
      </c>
      <c r="K37" s="8">
        <f>D37*$B$33*10^6</f>
        <v>1290424792.3603776</v>
      </c>
      <c r="L37" s="8">
        <f>D37*10^6*I82</f>
        <v>173069566.79001412</v>
      </c>
      <c r="M37" s="8">
        <f>SUM(K37:L37)</f>
        <v>1463494359.1503916</v>
      </c>
    </row>
    <row r="38" spans="1:13" x14ac:dyDescent="0.55000000000000004">
      <c r="A38" s="13"/>
      <c r="C38" s="10" t="s">
        <v>261</v>
      </c>
      <c r="D38" s="252">
        <f>SUM(D34:D37)</f>
        <v>34.907404700000001</v>
      </c>
      <c r="E38" s="12">
        <f>SUM(E34:E37)</f>
        <v>54252.538672769122</v>
      </c>
      <c r="F38" s="154">
        <f>SUM(F34:F37)</f>
        <v>6273.2070692549687</v>
      </c>
      <c r="G38" s="12">
        <f>SUM(E38:F38)</f>
        <v>60525.74574202409</v>
      </c>
      <c r="H38" s="154">
        <f>SUM(H34:H37)</f>
        <v>86380612901.330322</v>
      </c>
      <c r="I38" s="154">
        <f>SUM(I34:I37)</f>
        <v>22455834039.236805</v>
      </c>
      <c r="J38" s="154">
        <f>H38+I38</f>
        <v>108836446940.56712</v>
      </c>
      <c r="K38" s="154">
        <f>SUM(K34:K37)</f>
        <v>5889824851.1816378</v>
      </c>
      <c r="L38" s="154">
        <f>SUM(L34:L37)</f>
        <v>764099577.56043851</v>
      </c>
      <c r="M38" s="154">
        <f>K38+L38</f>
        <v>6653924428.7420759</v>
      </c>
    </row>
    <row r="39" spans="1:13" ht="31.2" customHeight="1" x14ac:dyDescent="0.55000000000000004">
      <c r="E39" s="299" t="s">
        <v>549</v>
      </c>
      <c r="F39" s="299"/>
      <c r="G39" s="255">
        <f>G38/(D38*10^6)</f>
        <v>1.733894176957363E-3</v>
      </c>
      <c r="H39" s="305" t="s">
        <v>550</v>
      </c>
      <c r="I39" s="305"/>
      <c r="J39" s="188">
        <f>J38/(D38*10^6)</f>
        <v>3117.8613212848536</v>
      </c>
      <c r="K39" s="305" t="s">
        <v>552</v>
      </c>
      <c r="L39" s="305"/>
      <c r="M39" s="188">
        <f>M38/(D38*10^6)</f>
        <v>190.61641751734339</v>
      </c>
    </row>
    <row r="40" spans="1:13" x14ac:dyDescent="0.55000000000000004">
      <c r="E40" s="200">
        <f>E41*G39</f>
        <v>1.5541842522818409E-3</v>
      </c>
      <c r="F40" s="255">
        <f>F41*G39</f>
        <v>1.7970992467552214E-4</v>
      </c>
      <c r="G40" s="200">
        <f>E40+F40</f>
        <v>1.733894176957363E-3</v>
      </c>
      <c r="H40" s="8">
        <f>H41*J39</f>
        <v>2474.5641689406461</v>
      </c>
      <c r="I40" s="188">
        <f>I41*J39</f>
        <v>643.29715234420735</v>
      </c>
      <c r="J40" s="8">
        <f>H40+I40</f>
        <v>3117.8613212848536</v>
      </c>
      <c r="K40" s="8">
        <f>K41*M39</f>
        <v>168.72709105130457</v>
      </c>
      <c r="L40" s="188">
        <f>L41*M39</f>
        <v>21.889326466038835</v>
      </c>
      <c r="M40" s="116">
        <f>K40+L40</f>
        <v>190.61641751734339</v>
      </c>
    </row>
    <row r="41" spans="1:13" x14ac:dyDescent="0.55000000000000004">
      <c r="E41" s="13">
        <f>E38/G38</f>
        <v>0.89635473314128256</v>
      </c>
      <c r="F41" s="13">
        <f>F38/G38</f>
        <v>0.10364526685871746</v>
      </c>
      <c r="G41" s="247"/>
      <c r="H41" s="13">
        <f>H38/J38</f>
        <v>0.79367358389143872</v>
      </c>
      <c r="I41" s="13">
        <f>I38/J38</f>
        <v>0.20632641610856128</v>
      </c>
      <c r="J41" s="11"/>
      <c r="K41" s="13">
        <f>K38/M38</f>
        <v>0.88516557623349934</v>
      </c>
      <c r="L41" s="13">
        <f>L38/M38</f>
        <v>0.11483442376650069</v>
      </c>
      <c r="M41" s="247"/>
    </row>
    <row r="42" spans="1:13" x14ac:dyDescent="0.55000000000000004">
      <c r="E42" s="256"/>
      <c r="F42" s="164"/>
      <c r="G42" s="110"/>
      <c r="H42" s="164"/>
      <c r="I42" s="164"/>
      <c r="J42" s="110"/>
      <c r="K42" s="164"/>
      <c r="L42" s="164"/>
    </row>
    <row r="43" spans="1:13" x14ac:dyDescent="0.55000000000000004">
      <c r="E43" s="164"/>
      <c r="F43" s="164"/>
      <c r="G43" s="166"/>
      <c r="H43" s="164"/>
      <c r="I43" s="164"/>
      <c r="J43" s="110"/>
      <c r="K43" s="164"/>
      <c r="L43" s="164"/>
    </row>
    <row r="44" spans="1:13" x14ac:dyDescent="0.55000000000000004">
      <c r="E44" s="164"/>
      <c r="F44" s="164"/>
      <c r="G44" s="110"/>
      <c r="H44" s="164"/>
      <c r="I44" s="164"/>
      <c r="J44" s="110"/>
      <c r="K44" s="164"/>
      <c r="L44" s="164"/>
    </row>
    <row r="45" spans="1:13" x14ac:dyDescent="0.55000000000000004">
      <c r="E45" s="164"/>
      <c r="F45" s="164"/>
      <c r="G45" s="110"/>
      <c r="H45" s="164"/>
      <c r="I45" s="164"/>
      <c r="J45" s="110"/>
      <c r="K45" s="164"/>
      <c r="L45" s="164"/>
    </row>
    <row r="46" spans="1:13" ht="28.8" x14ac:dyDescent="0.55000000000000004">
      <c r="C46" s="10" t="s">
        <v>537</v>
      </c>
      <c r="D46" s="10" t="s">
        <v>445</v>
      </c>
      <c r="E46" s="21" t="s">
        <v>504</v>
      </c>
      <c r="F46" s="21" t="s">
        <v>503</v>
      </c>
      <c r="G46" s="21" t="s">
        <v>505</v>
      </c>
    </row>
    <row r="47" spans="1:13" x14ac:dyDescent="0.55000000000000004">
      <c r="C47">
        <v>21111</v>
      </c>
      <c r="D47" t="s">
        <v>498</v>
      </c>
      <c r="E47" s="8">
        <f>E16/$E$112</f>
        <v>281.60282989429169</v>
      </c>
      <c r="F47" s="204">
        <f>F16/($E$112*10^6)</f>
        <v>1.0848676365036579E-4</v>
      </c>
      <c r="G47" s="8">
        <f>G16/$E$112</f>
        <v>12.70504852735807</v>
      </c>
      <c r="I47" s="204"/>
    </row>
    <row r="48" spans="1:13" x14ac:dyDescent="0.55000000000000004">
      <c r="C48" s="118" t="s">
        <v>500</v>
      </c>
      <c r="D48" t="s">
        <v>501</v>
      </c>
      <c r="E48" s="8">
        <f>E17/$E$110</f>
        <v>90.898221883514339</v>
      </c>
      <c r="F48" s="204">
        <f>F17/($E$110*10^6)</f>
        <v>1.4485320843314754E-5</v>
      </c>
      <c r="G48" s="8">
        <f>G17/$E$110</f>
        <v>1.9755801431844768</v>
      </c>
      <c r="I48" s="204"/>
    </row>
    <row r="49" spans="2:10" x14ac:dyDescent="0.55000000000000004">
      <c r="C49">
        <v>32411</v>
      </c>
      <c r="D49" t="s">
        <v>499</v>
      </c>
      <c r="E49" s="8">
        <f>E18/$E$102</f>
        <v>811.10763124580922</v>
      </c>
      <c r="F49" s="204">
        <f>F18/($E$102*10^6)</f>
        <v>8.0091413336906317E-5</v>
      </c>
      <c r="G49" s="8">
        <f>G18/$E$102</f>
        <v>12.101977633103276</v>
      </c>
    </row>
    <row r="51" spans="2:10" x14ac:dyDescent="0.55000000000000004">
      <c r="E51" s="292" t="s">
        <v>509</v>
      </c>
      <c r="F51" s="292"/>
      <c r="G51" s="292"/>
      <c r="H51" s="292"/>
      <c r="I51" s="292"/>
    </row>
    <row r="52" spans="2:10" ht="28.8" x14ac:dyDescent="0.55000000000000004">
      <c r="C52" s="160" t="s">
        <v>508</v>
      </c>
      <c r="D52" t="s">
        <v>507</v>
      </c>
      <c r="E52" s="1" t="s">
        <v>3</v>
      </c>
      <c r="F52" s="1" t="s">
        <v>1</v>
      </c>
      <c r="G52" s="1" t="s">
        <v>339</v>
      </c>
      <c r="H52" s="1" t="s">
        <v>340</v>
      </c>
      <c r="I52" s="1" t="s">
        <v>2</v>
      </c>
    </row>
    <row r="53" spans="2:10" x14ac:dyDescent="0.55000000000000004">
      <c r="B53" s="3" t="s">
        <v>451</v>
      </c>
      <c r="C53" s="1">
        <v>52.2</v>
      </c>
      <c r="D53" t="s">
        <v>305</v>
      </c>
      <c r="E53">
        <v>27.6</v>
      </c>
      <c r="F53">
        <v>65.400000000000006</v>
      </c>
      <c r="G53">
        <v>69.8</v>
      </c>
      <c r="H53">
        <v>65.599999999999994</v>
      </c>
      <c r="I53">
        <v>65.900000000000006</v>
      </c>
    </row>
    <row r="54" spans="2:10" x14ac:dyDescent="0.55000000000000004">
      <c r="B54" s="3" t="s">
        <v>451</v>
      </c>
      <c r="C54" s="1">
        <v>47</v>
      </c>
      <c r="D54" t="s">
        <v>506</v>
      </c>
      <c r="E54">
        <v>28.2</v>
      </c>
      <c r="F54">
        <v>5.45</v>
      </c>
      <c r="G54">
        <v>5.56</v>
      </c>
      <c r="H54">
        <v>5.46</v>
      </c>
      <c r="I54">
        <v>7.76</v>
      </c>
    </row>
    <row r="55" spans="2:10" x14ac:dyDescent="0.55000000000000004">
      <c r="D55" t="s">
        <v>261</v>
      </c>
      <c r="E55" s="9">
        <f>SUM(E53:E54)</f>
        <v>55.8</v>
      </c>
      <c r="F55" s="9">
        <f>SUM(F53:F54)</f>
        <v>70.850000000000009</v>
      </c>
      <c r="G55" s="9">
        <f>SUM(G53:G54)</f>
        <v>75.36</v>
      </c>
      <c r="H55" s="9">
        <f>SUM(H53:H54)</f>
        <v>71.059999999999988</v>
      </c>
      <c r="I55" s="9">
        <f>SUM(I53:I54)</f>
        <v>73.660000000000011</v>
      </c>
    </row>
    <row r="57" spans="2:10" x14ac:dyDescent="0.55000000000000004">
      <c r="E57" s="292" t="s">
        <v>510</v>
      </c>
      <c r="F57" s="292"/>
      <c r="G57" s="292"/>
      <c r="H57" s="292"/>
      <c r="I57" s="292"/>
    </row>
    <row r="58" spans="2:10" x14ac:dyDescent="0.55000000000000004">
      <c r="D58" t="s">
        <v>507</v>
      </c>
      <c r="E58" s="1" t="s">
        <v>3</v>
      </c>
      <c r="F58" s="1" t="s">
        <v>1</v>
      </c>
      <c r="G58" s="1" t="s">
        <v>339</v>
      </c>
      <c r="H58" s="1" t="s">
        <v>340</v>
      </c>
      <c r="I58" s="1" t="s">
        <v>2</v>
      </c>
    </row>
    <row r="59" spans="2:10" x14ac:dyDescent="0.55000000000000004">
      <c r="D59" t="s">
        <v>305</v>
      </c>
      <c r="E59" s="249">
        <f>E53/$C$53</f>
        <v>0.52873563218390807</v>
      </c>
      <c r="F59" s="249">
        <f>F53/$C$53</f>
        <v>1.2528735632183909</v>
      </c>
      <c r="G59" s="249">
        <f>G53/$C$53</f>
        <v>1.3371647509578544</v>
      </c>
      <c r="H59" s="249">
        <f>H53/$C$53</f>
        <v>1.2567049808429116</v>
      </c>
      <c r="I59" s="249">
        <f>I53/$C$53</f>
        <v>1.2624521072796935</v>
      </c>
      <c r="J59" s="249"/>
    </row>
    <row r="60" spans="2:10" x14ac:dyDescent="0.55000000000000004">
      <c r="D60" t="s">
        <v>506</v>
      </c>
      <c r="E60" s="249">
        <f>E54/$C$54</f>
        <v>0.6</v>
      </c>
      <c r="F60" s="249">
        <f>F54/$C$54</f>
        <v>0.11595744680851064</v>
      </c>
      <c r="G60" s="249">
        <f>G54/$C$54</f>
        <v>0.11829787234042552</v>
      </c>
      <c r="H60" s="249">
        <f>H54/$C$54</f>
        <v>0.11617021276595745</v>
      </c>
      <c r="I60" s="249">
        <f>I54/$C$54</f>
        <v>0.1651063829787234</v>
      </c>
    </row>
    <row r="61" spans="2:10" x14ac:dyDescent="0.55000000000000004">
      <c r="D61" t="s">
        <v>261</v>
      </c>
      <c r="E61" s="169">
        <f>SUM(E59:E60)</f>
        <v>1.1287356321839082</v>
      </c>
      <c r="F61" s="169">
        <f>SUM(F59:F60)</f>
        <v>1.3688310100269017</v>
      </c>
      <c r="G61" s="169">
        <f>SUM(G59:G60)</f>
        <v>1.4554626232982799</v>
      </c>
      <c r="H61" s="169">
        <f>SUM(H59:H60)</f>
        <v>1.372875193608869</v>
      </c>
      <c r="I61" s="169">
        <f>SUM(I59:I60)</f>
        <v>1.4275584902584169</v>
      </c>
    </row>
    <row r="62" spans="2:10" x14ac:dyDescent="0.55000000000000004">
      <c r="E62" s="11"/>
      <c r="F62" s="11"/>
      <c r="G62" s="11"/>
      <c r="H62" s="11"/>
      <c r="I62" s="11"/>
    </row>
    <row r="63" spans="2:10" x14ac:dyDescent="0.55000000000000004">
      <c r="E63" s="292" t="s">
        <v>532</v>
      </c>
      <c r="F63" s="292"/>
      <c r="G63" s="292"/>
      <c r="H63" s="292"/>
      <c r="I63" s="292"/>
    </row>
    <row r="64" spans="2:10" x14ac:dyDescent="0.55000000000000004">
      <c r="C64" s="11"/>
      <c r="E64" s="1" t="s">
        <v>3</v>
      </c>
      <c r="F64" s="1" t="s">
        <v>1</v>
      </c>
      <c r="G64" s="1" t="s">
        <v>339</v>
      </c>
      <c r="H64" s="1" t="s">
        <v>340</v>
      </c>
      <c r="I64" s="1" t="s">
        <v>2</v>
      </c>
    </row>
    <row r="65" spans="1:13" x14ac:dyDescent="0.55000000000000004">
      <c r="A65" s="294" t="s">
        <v>85</v>
      </c>
      <c r="B65" s="294"/>
      <c r="C65" s="254"/>
      <c r="D65" t="s">
        <v>498</v>
      </c>
      <c r="E65" s="166">
        <f>E61*$F$47</f>
        <v>1.2245287575248187E-4</v>
      </c>
      <c r="F65" s="166">
        <f>F61*$F$47</f>
        <v>1.4850004626207997E-4</v>
      </c>
      <c r="G65" s="166">
        <f>G61*$F$47</f>
        <v>1.5789842961570188E-4</v>
      </c>
      <c r="H65" s="166">
        <f>H61*$F$47</f>
        <v>1.4893878665049555E-4</v>
      </c>
      <c r="I65" s="166">
        <f>I61*$F$47</f>
        <v>1.5487120052973789E-4</v>
      </c>
    </row>
    <row r="66" spans="1:13" x14ac:dyDescent="0.55000000000000004">
      <c r="A66" s="118" t="s">
        <v>515</v>
      </c>
      <c r="B66" s="118" t="s">
        <v>103</v>
      </c>
      <c r="D66" t="s">
        <v>501</v>
      </c>
      <c r="E66" s="166">
        <f>E59*$F$48</f>
        <v>7.6589052734767665E-6</v>
      </c>
      <c r="F66" s="231">
        <f>F59*$F$48</f>
        <v>1.8148275539325382E-5</v>
      </c>
      <c r="G66" s="231">
        <f>G59*$F$48</f>
        <v>1.9369260437995589E-5</v>
      </c>
      <c r="H66" s="231">
        <f>H59*$F$48</f>
        <v>1.8203774852901296E-5</v>
      </c>
      <c r="I66" s="166">
        <f>I59*$F$48</f>
        <v>1.8287023823265178E-5</v>
      </c>
    </row>
    <row r="67" spans="1:13" x14ac:dyDescent="0.55000000000000004">
      <c r="A67" s="118">
        <v>1</v>
      </c>
      <c r="B67" s="118">
        <v>0.13639999999999999</v>
      </c>
      <c r="D67" t="s">
        <v>499</v>
      </c>
      <c r="E67" s="166">
        <f>E60*$F$49</f>
        <v>4.805484800214379E-5</v>
      </c>
      <c r="F67" s="166">
        <f>F60*$F$49</f>
        <v>9.2871958018327546E-6</v>
      </c>
      <c r="G67" s="166">
        <f>G60*$F$49</f>
        <v>9.474643790493598E-6</v>
      </c>
      <c r="H67" s="166">
        <f>H60*$F$49</f>
        <v>9.3042365280746492E-6</v>
      </c>
      <c r="I67" s="166">
        <f>I60*$F$49</f>
        <v>1.3223603563710491E-5</v>
      </c>
    </row>
    <row r="68" spans="1:13" x14ac:dyDescent="0.55000000000000004">
      <c r="D68" t="s">
        <v>533</v>
      </c>
      <c r="E68" s="271">
        <f>SUM(E65:E67)</f>
        <v>1.7816662902810245E-4</v>
      </c>
      <c r="F68" s="271">
        <f>SUM(F65:F67)</f>
        <v>1.759355176032381E-4</v>
      </c>
      <c r="G68" s="271">
        <f>SUM(G65:G67)</f>
        <v>1.8674233384419108E-4</v>
      </c>
      <c r="H68" s="271">
        <f>SUM(H65:H67)</f>
        <v>1.764467980314715E-4</v>
      </c>
      <c r="I68" s="271">
        <f>SUM(I65:I67)</f>
        <v>1.8638182791671357E-4</v>
      </c>
      <c r="J68" s="168"/>
      <c r="K68" s="168"/>
      <c r="L68" s="168"/>
      <c r="M68" s="168"/>
    </row>
    <row r="69" spans="1:13" x14ac:dyDescent="0.55000000000000004">
      <c r="A69" s="294" t="s">
        <v>85</v>
      </c>
      <c r="B69" s="294"/>
    </row>
    <row r="70" spans="1:13" ht="28.8" x14ac:dyDescent="0.55000000000000004">
      <c r="A70" s="250" t="s">
        <v>516</v>
      </c>
      <c r="B70" s="230" t="s">
        <v>530</v>
      </c>
      <c r="E70" s="292" t="s">
        <v>538</v>
      </c>
      <c r="F70" s="292"/>
      <c r="G70" s="292"/>
      <c r="H70" s="292"/>
      <c r="I70" s="292"/>
    </row>
    <row r="71" spans="1:13" x14ac:dyDescent="0.55000000000000004">
      <c r="A71" s="118">
        <v>1</v>
      </c>
      <c r="B71" s="118">
        <v>1.0189999999999999</v>
      </c>
      <c r="E71" s="1" t="s">
        <v>3</v>
      </c>
      <c r="F71" s="1" t="s">
        <v>1</v>
      </c>
      <c r="G71" s="1" t="s">
        <v>339</v>
      </c>
      <c r="H71" s="1" t="s">
        <v>340</v>
      </c>
      <c r="I71" s="1" t="s">
        <v>2</v>
      </c>
    </row>
    <row r="72" spans="1:13" x14ac:dyDescent="0.55000000000000004">
      <c r="D72" t="s">
        <v>498</v>
      </c>
      <c r="E72" s="116">
        <f>E61*$E$47</f>
        <v>317.8551482255109</v>
      </c>
      <c r="F72" s="116">
        <f>F61*$E$47</f>
        <v>385.46668607063708</v>
      </c>
      <c r="G72" s="116">
        <f>G61*$E$47</f>
        <v>409.86239352616508</v>
      </c>
      <c r="H72" s="116">
        <f>H61*$E$47</f>
        <v>386.60553961193108</v>
      </c>
      <c r="I72" s="116">
        <f>I61*$E$47</f>
        <v>402.0045106963928</v>
      </c>
    </row>
    <row r="73" spans="1:13" x14ac:dyDescent="0.55000000000000004">
      <c r="A73" s="294" t="s">
        <v>517</v>
      </c>
      <c r="B73" s="294"/>
      <c r="D73" t="s">
        <v>501</v>
      </c>
      <c r="E73" s="116">
        <f>E59*$E$48</f>
        <v>48.061128811973099</v>
      </c>
      <c r="F73" s="116">
        <f>F59*$E$48</f>
        <v>113.88397914141453</v>
      </c>
      <c r="G73" s="116">
        <f>G59*$E$48</f>
        <v>121.54589822738124</v>
      </c>
      <c r="H73" s="116">
        <f>H59*$E$48</f>
        <v>114.23224819077662</v>
      </c>
      <c r="I73" s="116">
        <f>I59*$E$48</f>
        <v>114.75465176481983</v>
      </c>
    </row>
    <row r="74" spans="1:13" x14ac:dyDescent="0.55000000000000004">
      <c r="A74">
        <v>47.1</v>
      </c>
      <c r="B74" t="s">
        <v>518</v>
      </c>
      <c r="D74" t="s">
        <v>499</v>
      </c>
      <c r="E74" s="116">
        <f>E60*$E$49</f>
        <v>486.66457874748551</v>
      </c>
      <c r="F74" s="116">
        <f>F60*$E$49</f>
        <v>94.053970006162984</v>
      </c>
      <c r="G74" s="116">
        <f>G60*$E$49</f>
        <v>95.95230701546167</v>
      </c>
      <c r="H74" s="116">
        <f>H60*$E$49</f>
        <v>94.226546097917407</v>
      </c>
      <c r="I74" s="116">
        <f>I60*$E$49</f>
        <v>133.91904720143575</v>
      </c>
    </row>
    <row r="75" spans="1:13" x14ac:dyDescent="0.55000000000000004">
      <c r="A75">
        <f>A74/10^9</f>
        <v>4.7099999999999998E-8</v>
      </c>
      <c r="B75" t="s">
        <v>519</v>
      </c>
      <c r="D75" t="s">
        <v>539</v>
      </c>
      <c r="E75" s="203">
        <f>SUM(E72:E74)</f>
        <v>852.58085578496957</v>
      </c>
      <c r="F75" s="203">
        <f>SUM(F72:F74)</f>
        <v>593.40463521821459</v>
      </c>
      <c r="G75" s="203">
        <f>SUM(G72:G74)</f>
        <v>627.36059876900799</v>
      </c>
      <c r="H75" s="203">
        <f>SUM(H72:H74)</f>
        <v>595.06433390062512</v>
      </c>
      <c r="I75" s="203">
        <f>SUM(I72:I74)</f>
        <v>650.67820966264844</v>
      </c>
      <c r="J75" s="168"/>
      <c r="K75" s="168"/>
      <c r="L75" s="168"/>
      <c r="M75" s="168"/>
    </row>
    <row r="76" spans="1:13" x14ac:dyDescent="0.55000000000000004">
      <c r="A76">
        <f>A75*1000</f>
        <v>4.71E-5</v>
      </c>
      <c r="B76" t="s">
        <v>520</v>
      </c>
      <c r="J76" s="13"/>
      <c r="K76" s="13"/>
      <c r="L76" s="13"/>
      <c r="M76" s="13"/>
    </row>
    <row r="77" spans="1:13" x14ac:dyDescent="0.55000000000000004">
      <c r="E77" s="292" t="s">
        <v>540</v>
      </c>
      <c r="F77" s="292"/>
      <c r="G77" s="292"/>
      <c r="H77" s="292"/>
      <c r="I77" s="292"/>
    </row>
    <row r="78" spans="1:13" x14ac:dyDescent="0.55000000000000004">
      <c r="E78" s="1" t="s">
        <v>3</v>
      </c>
      <c r="F78" s="1" t="s">
        <v>1</v>
      </c>
      <c r="G78" s="1" t="s">
        <v>339</v>
      </c>
      <c r="H78" s="1" t="s">
        <v>340</v>
      </c>
      <c r="I78" s="1" t="s">
        <v>2</v>
      </c>
    </row>
    <row r="79" spans="1:13" x14ac:dyDescent="0.55000000000000004">
      <c r="D79" t="s">
        <v>498</v>
      </c>
      <c r="E79" s="116">
        <f>E61*$G$47</f>
        <v>14.340640981454742</v>
      </c>
      <c r="F79" s="116">
        <f>F61*$G$47</f>
        <v>17.391064408144345</v>
      </c>
      <c r="G79" s="116">
        <f>G61*$G$47</f>
        <v>18.491723258760523</v>
      </c>
      <c r="H79" s="116">
        <f>H61*$G$47</f>
        <v>17.442445956806786</v>
      </c>
      <c r="I79" s="116">
        <f>I61*$G$47</f>
        <v>18.137199894375208</v>
      </c>
    </row>
    <row r="80" spans="1:13" x14ac:dyDescent="0.55000000000000004">
      <c r="D80" t="s">
        <v>501</v>
      </c>
      <c r="E80" s="116">
        <f>E59*$G$48</f>
        <v>1.0445596159366199</v>
      </c>
      <c r="F80" s="116">
        <f>F59*$G$48</f>
        <v>2.4751521334150346</v>
      </c>
      <c r="G80" s="116">
        <f>G59*$G$48</f>
        <v>2.6416761301585532</v>
      </c>
      <c r="H80" s="116">
        <f>H59*$G$48</f>
        <v>2.4827214059942846</v>
      </c>
      <c r="I80" s="116">
        <f>I59*$G$48</f>
        <v>2.4940753148631614</v>
      </c>
    </row>
    <row r="81" spans="3:9" x14ac:dyDescent="0.55000000000000004">
      <c r="D81" t="s">
        <v>499</v>
      </c>
      <c r="E81" s="116">
        <f>E60*$G$49</f>
        <v>7.261186579861965</v>
      </c>
      <c r="F81" s="116">
        <f>F60*$G$49</f>
        <v>1.4033144276683587</v>
      </c>
      <c r="G81" s="116">
        <f>G60*$G$49</f>
        <v>1.4316382051075363</v>
      </c>
      <c r="H81" s="116">
        <f>H60*$G$49</f>
        <v>1.4058893165264656</v>
      </c>
      <c r="I81" s="116">
        <f>I60*$G$49</f>
        <v>1.998113753891094</v>
      </c>
    </row>
    <row r="82" spans="3:9" x14ac:dyDescent="0.55000000000000004">
      <c r="D82" t="s">
        <v>541</v>
      </c>
      <c r="E82" s="116">
        <f>SUM(E79:E81)</f>
        <v>22.646387177253327</v>
      </c>
      <c r="F82" s="116">
        <f>SUM(F79:F81)</f>
        <v>21.269530969227738</v>
      </c>
      <c r="G82" s="116">
        <f>SUM(G79:G81)</f>
        <v>22.565037594026613</v>
      </c>
      <c r="H82" s="116">
        <f>SUM(H79:H81)</f>
        <v>21.331056679327535</v>
      </c>
      <c r="I82" s="116">
        <f>SUM(I79:I81)</f>
        <v>22.629388963129461</v>
      </c>
    </row>
    <row r="85" spans="3:9" x14ac:dyDescent="0.55000000000000004">
      <c r="D85" s="1"/>
    </row>
    <row r="86" spans="3:9" x14ac:dyDescent="0.55000000000000004">
      <c r="D86" s="1"/>
    </row>
    <row r="87" spans="3:9" x14ac:dyDescent="0.55000000000000004">
      <c r="D87" s="1"/>
    </row>
    <row r="88" spans="3:9" ht="15.3" customHeight="1" x14ac:dyDescent="0.55000000000000004">
      <c r="D88" s="1"/>
    </row>
    <row r="89" spans="3:9" x14ac:dyDescent="0.55000000000000004">
      <c r="D89" s="1"/>
    </row>
    <row r="91" spans="3:9" x14ac:dyDescent="0.55000000000000004">
      <c r="D91" s="285" t="s">
        <v>526</v>
      </c>
      <c r="E91" s="285"/>
      <c r="F91" s="285"/>
    </row>
    <row r="92" spans="3:9" x14ac:dyDescent="0.55000000000000004">
      <c r="E92" s="10" t="s">
        <v>521</v>
      </c>
      <c r="F92" s="10" t="s">
        <v>513</v>
      </c>
    </row>
    <row r="93" spans="3:9" x14ac:dyDescent="0.55000000000000004">
      <c r="C93" s="303" t="s">
        <v>85</v>
      </c>
      <c r="D93" s="291" t="s">
        <v>511</v>
      </c>
      <c r="E93" s="7">
        <v>4494995</v>
      </c>
      <c r="F93" s="234" t="s">
        <v>514</v>
      </c>
    </row>
    <row r="94" spans="3:9" x14ac:dyDescent="0.55000000000000004">
      <c r="C94" s="303"/>
      <c r="D94" s="291"/>
      <c r="E94" s="8">
        <f>E93*1000</f>
        <v>4494995000</v>
      </c>
      <c r="F94" t="s">
        <v>522</v>
      </c>
    </row>
    <row r="95" spans="3:9" x14ac:dyDescent="0.55000000000000004">
      <c r="C95" s="303"/>
      <c r="D95" s="291"/>
      <c r="E95" s="12">
        <f>(E94*B67)/10^6</f>
        <v>613.11731799999995</v>
      </c>
      <c r="F95" t="s">
        <v>161</v>
      </c>
    </row>
    <row r="96" spans="3:9" x14ac:dyDescent="0.55000000000000004">
      <c r="C96" s="3" t="s">
        <v>85</v>
      </c>
      <c r="D96" t="s">
        <v>523</v>
      </c>
      <c r="E96" s="7">
        <v>1088345</v>
      </c>
      <c r="F96" t="s">
        <v>514</v>
      </c>
    </row>
    <row r="97" spans="3:8" x14ac:dyDescent="0.55000000000000004">
      <c r="C97" s="3" t="s">
        <v>85</v>
      </c>
      <c r="D97" t="s">
        <v>524</v>
      </c>
      <c r="E97" s="7">
        <v>2482332</v>
      </c>
      <c r="F97" t="s">
        <v>514</v>
      </c>
    </row>
    <row r="98" spans="3:8" x14ac:dyDescent="0.55000000000000004">
      <c r="D98" t="s">
        <v>525</v>
      </c>
      <c r="E98" s="8">
        <f>E97-E96</f>
        <v>1393987</v>
      </c>
      <c r="F98" t="s">
        <v>514</v>
      </c>
    </row>
    <row r="100" spans="3:8" x14ac:dyDescent="0.55000000000000004">
      <c r="D100" s="291" t="s">
        <v>512</v>
      </c>
      <c r="E100" s="8">
        <f>E93+E98</f>
        <v>5888982</v>
      </c>
      <c r="F100" t="s">
        <v>514</v>
      </c>
    </row>
    <row r="101" spans="3:8" x14ac:dyDescent="0.55000000000000004">
      <c r="D101" s="291"/>
      <c r="E101" s="8">
        <f>E100*1000</f>
        <v>5888982000</v>
      </c>
      <c r="F101" t="s">
        <v>522</v>
      </c>
    </row>
    <row r="102" spans="3:8" x14ac:dyDescent="0.55000000000000004">
      <c r="E102" s="12">
        <f>(E101*B67)/10^6</f>
        <v>803.25714479999999</v>
      </c>
      <c r="F102" t="s">
        <v>161</v>
      </c>
    </row>
    <row r="105" spans="3:8" x14ac:dyDescent="0.55000000000000004">
      <c r="D105" s="285" t="s">
        <v>527</v>
      </c>
      <c r="E105" s="285"/>
      <c r="F105" s="285"/>
    </row>
    <row r="106" spans="3:8" x14ac:dyDescent="0.55000000000000004">
      <c r="E106" s="10" t="s">
        <v>521</v>
      </c>
      <c r="F106" s="10" t="s">
        <v>513</v>
      </c>
    </row>
    <row r="107" spans="3:8" x14ac:dyDescent="0.55000000000000004">
      <c r="C107" s="3" t="s">
        <v>85</v>
      </c>
      <c r="D107" t="s">
        <v>528</v>
      </c>
      <c r="E107" s="7">
        <v>40780210</v>
      </c>
      <c r="F107" t="s">
        <v>529</v>
      </c>
    </row>
    <row r="108" spans="3:8" x14ac:dyDescent="0.55000000000000004">
      <c r="E108" s="8">
        <f>E107/1000</f>
        <v>40780.21</v>
      </c>
      <c r="F108" t="s">
        <v>531</v>
      </c>
    </row>
    <row r="109" spans="3:8" x14ac:dyDescent="0.55000000000000004">
      <c r="E109" s="8">
        <f>E108*B71</f>
        <v>41555.033989999996</v>
      </c>
      <c r="F109" t="s">
        <v>356</v>
      </c>
    </row>
    <row r="110" spans="3:8" x14ac:dyDescent="0.55000000000000004">
      <c r="E110" s="12">
        <f>(E109/A76)/10^6</f>
        <v>882.27248386411884</v>
      </c>
      <c r="F110" t="s">
        <v>161</v>
      </c>
      <c r="H110" s="7"/>
    </row>
    <row r="111" spans="3:8" x14ac:dyDescent="0.55000000000000004">
      <c r="C111" s="3"/>
      <c r="E111" s="7"/>
      <c r="H111" s="13"/>
    </row>
    <row r="112" spans="3:8" x14ac:dyDescent="0.55000000000000004">
      <c r="D112" t="s">
        <v>545</v>
      </c>
      <c r="E112" s="8">
        <f>E95+E110</f>
        <v>1495.3898018641189</v>
      </c>
      <c r="F112" s="8" t="s">
        <v>161</v>
      </c>
      <c r="H112" s="166"/>
    </row>
    <row r="113" spans="6:6" x14ac:dyDescent="0.55000000000000004">
      <c r="F113" s="116"/>
    </row>
  </sheetData>
  <mergeCells count="23">
    <mergeCell ref="E57:I57"/>
    <mergeCell ref="D2:I2"/>
    <mergeCell ref="Q2:X2"/>
    <mergeCell ref="Q13:R13"/>
    <mergeCell ref="C13:D13"/>
    <mergeCell ref="E51:I51"/>
    <mergeCell ref="E32:G32"/>
    <mergeCell ref="H32:J32"/>
    <mergeCell ref="E39:F39"/>
    <mergeCell ref="H39:I39"/>
    <mergeCell ref="K32:M32"/>
    <mergeCell ref="K39:L39"/>
    <mergeCell ref="A65:B65"/>
    <mergeCell ref="A69:B69"/>
    <mergeCell ref="A73:B73"/>
    <mergeCell ref="D93:D95"/>
    <mergeCell ref="D91:F91"/>
    <mergeCell ref="C93:C95"/>
    <mergeCell ref="D100:D101"/>
    <mergeCell ref="D105:F105"/>
    <mergeCell ref="E63:I63"/>
    <mergeCell ref="E70:I70"/>
    <mergeCell ref="E77:I77"/>
  </mergeCells>
  <hyperlinks>
    <hyperlink ref="B4" r:id="rId1" xr:uid="{7CDBA2AD-1067-4FE7-A486-8CA9D83BB23B}"/>
    <hyperlink ref="P4" r:id="rId2" xr:uid="{F57E40D2-AD65-4547-AD1B-E14246865C18}"/>
    <hyperlink ref="B6" r:id="rId3" xr:uid="{83E78E91-B9AF-4CC4-80D1-20BBA7739723}"/>
    <hyperlink ref="P6" r:id="rId4" xr:uid="{EC91CEED-3DBF-436D-83EC-40278D4C0298}"/>
    <hyperlink ref="B5" r:id="rId5" xr:uid="{F211A4AB-4E29-437D-BC7D-12245D442D20}"/>
    <hyperlink ref="P5" r:id="rId6" xr:uid="{5FEE8AB1-7922-4115-8C5A-7173B9B0E85E}"/>
    <hyperlink ref="B8" r:id="rId7" xr:uid="{1891620C-47CF-46E9-95C9-E49E08F89E15}"/>
    <hyperlink ref="B9" r:id="rId8" xr:uid="{67700568-4177-4763-84F7-74EBD20D5380}"/>
    <hyperlink ref="B10" r:id="rId9" xr:uid="{3EAA5BB4-50FD-4DFA-9EF6-8B4266209813}"/>
    <hyperlink ref="B11" r:id="rId10" xr:uid="{E87E6917-537C-4322-A1B1-FE8D1741D816}"/>
    <hyperlink ref="B12" r:id="rId11" xr:uid="{385F2381-5F40-4ABA-A80E-BA1CAFB0C4C4}"/>
    <hyperlink ref="P8" r:id="rId12" xr:uid="{C97A43AA-5EEE-4C74-9ECA-787F386687AE}"/>
    <hyperlink ref="P9" r:id="rId13" xr:uid="{E8662722-7017-479F-8DED-22F5FCF282CA}"/>
    <hyperlink ref="P10" r:id="rId14" xr:uid="{4BCDC5E3-096D-487F-B403-9E8C5A65E022}"/>
    <hyperlink ref="P11" r:id="rId15" xr:uid="{AADED79F-2E2E-4ACF-8E2C-42161C84A2E2}"/>
    <hyperlink ref="P12" r:id="rId16" xr:uid="{FCB1AAF6-D470-4545-B37F-D7FB66068C16}"/>
    <hyperlink ref="B15" r:id="rId17" xr:uid="{1E891A08-31D5-43A5-B7AB-D3B6A4A11342}"/>
    <hyperlink ref="B53" r:id="rId18" xr:uid="{2DA479A3-46BD-48AB-B240-4AA4F366F74B}"/>
    <hyperlink ref="B54" r:id="rId19" xr:uid="{FA815E09-92AA-4561-B886-3B0ECFBFF119}"/>
    <hyperlink ref="A65:B65" r:id="rId20" display="Source" xr:uid="{15272CB6-62FB-4AE0-9AA2-A4F2527878E1}"/>
    <hyperlink ref="A69:B69" r:id="rId21" display="Source" xr:uid="{43A24F2E-7238-4C3A-B0CB-E1855B6D5C0F}"/>
    <hyperlink ref="A73:B73" r:id="rId22" display="LHV of NG" xr:uid="{CEF99230-0B70-4201-893C-95CA29225303}"/>
    <hyperlink ref="C97" r:id="rId23" xr:uid="{69D001A3-760D-4342-8B65-3B8E7438B5CB}"/>
    <hyperlink ref="C96" r:id="rId24" xr:uid="{6EAED63D-085B-4539-A20C-01DAADF75A84}"/>
    <hyperlink ref="C93:C95" r:id="rId25" display="Source" xr:uid="{ED9B39BA-D132-4549-AE25-22C31B304C10}"/>
    <hyperlink ref="C107" r:id="rId26" xr:uid="{802B9C4B-3F18-40C8-9790-1A37F3FDA5F3}"/>
    <hyperlink ref="B16" r:id="rId27" xr:uid="{5CB3CC1A-3284-4377-B24B-2BD2B95BE371}"/>
    <hyperlink ref="B17" r:id="rId28" xr:uid="{8CE40A63-6B10-420F-8769-327E59BBA532}"/>
    <hyperlink ref="B18" r:id="rId29" xr:uid="{D8CE3ACD-04A0-4F06-9401-95165A15E0AE}"/>
    <hyperlink ref="B19" r:id="rId30" xr:uid="{713D7470-4600-461F-A2F2-95EED00FB9A3}"/>
  </hyperlinks>
  <pageMargins left="0.7" right="0.7" top="0.75" bottom="0.75" header="0.3" footer="0.3"/>
  <pageSetup orientation="portrait" r:id="rId31"/>
  <legacyDrawing r:id="rId3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6C40C-1677-416B-B82A-49DF55095211}">
  <dimension ref="A2:Q56"/>
  <sheetViews>
    <sheetView zoomScale="83" zoomScaleNormal="83" workbookViewId="0">
      <selection activeCell="R24" sqref="R24"/>
    </sheetView>
  </sheetViews>
  <sheetFormatPr defaultRowHeight="14.4" x14ac:dyDescent="0.55000000000000004"/>
  <cols>
    <col min="2" max="2" width="12" bestFit="1" customWidth="1"/>
    <col min="3" max="3" width="13.41796875" customWidth="1"/>
    <col min="4" max="4" width="11.3125" customWidth="1"/>
    <col min="5" max="5" width="13.20703125" customWidth="1"/>
    <col min="6" max="6" width="12.3125" customWidth="1"/>
    <col min="7" max="7" width="11.89453125" customWidth="1"/>
    <col min="8" max="8" width="13.3125" customWidth="1"/>
    <col min="9" max="9" width="11.41796875" customWidth="1"/>
    <col min="10" max="10" width="16.89453125" customWidth="1"/>
    <col min="11" max="11" width="9.89453125" customWidth="1"/>
    <col min="12" max="12" width="12" customWidth="1"/>
    <col min="13" max="13" width="12.1015625" customWidth="1"/>
    <col min="14" max="14" width="11.41796875" customWidth="1"/>
    <col min="15" max="15" width="13.20703125" customWidth="1"/>
    <col min="16" max="16" width="12.89453125" customWidth="1"/>
    <col min="17" max="17" width="13.20703125" customWidth="1"/>
    <col min="18" max="18" width="18.41796875" customWidth="1"/>
    <col min="19" max="19" width="18.68359375" customWidth="1"/>
  </cols>
  <sheetData>
    <row r="2" spans="2:17" x14ac:dyDescent="0.55000000000000004">
      <c r="D2" t="s">
        <v>24</v>
      </c>
    </row>
    <row r="3" spans="2:17" x14ac:dyDescent="0.55000000000000004">
      <c r="D3" s="3"/>
    </row>
    <row r="4" spans="2:17" ht="14.7" thickBot="1" x14ac:dyDescent="0.6">
      <c r="F4" s="315" t="s">
        <v>25</v>
      </c>
      <c r="G4" s="316"/>
      <c r="H4" s="316"/>
      <c r="I4" s="316"/>
      <c r="J4" s="317"/>
    </row>
    <row r="5" spans="2:17" ht="43.2" x14ac:dyDescent="0.55000000000000004">
      <c r="D5" s="15" t="s">
        <v>26</v>
      </c>
      <c r="E5" s="16" t="s">
        <v>27</v>
      </c>
      <c r="F5" s="17" t="s">
        <v>28</v>
      </c>
      <c r="G5" s="17" t="s">
        <v>29</v>
      </c>
      <c r="H5" s="17" t="s">
        <v>30</v>
      </c>
      <c r="I5" s="18" t="s">
        <v>21</v>
      </c>
      <c r="J5" s="19" t="s">
        <v>31</v>
      </c>
      <c r="K5" s="20" t="s">
        <v>32</v>
      </c>
      <c r="L5" s="21" t="s">
        <v>33</v>
      </c>
      <c r="M5" s="21" t="s">
        <v>34</v>
      </c>
      <c r="N5" s="21" t="s">
        <v>35</v>
      </c>
      <c r="O5" s="21" t="s">
        <v>36</v>
      </c>
    </row>
    <row r="6" spans="2:17" x14ac:dyDescent="0.55000000000000004">
      <c r="D6" s="318" t="s">
        <v>37</v>
      </c>
      <c r="E6" s="22" t="s">
        <v>38</v>
      </c>
      <c r="F6" s="23">
        <v>32368.360800000002</v>
      </c>
      <c r="G6" s="23">
        <v>2803.20165</v>
      </c>
      <c r="H6" s="23">
        <v>5098.3797000000004</v>
      </c>
      <c r="I6" s="23">
        <v>24466.779450000002</v>
      </c>
      <c r="J6" s="24">
        <v>29565.159150000003</v>
      </c>
      <c r="K6" s="25">
        <f>(G6/F6)*100</f>
        <v>8.6603139013452921</v>
      </c>
      <c r="L6" s="25">
        <f>(H6/F6)*100</f>
        <v>15.751121076233185</v>
      </c>
      <c r="M6" s="25">
        <f>(I6/F6)*100</f>
        <v>75.588565022421534</v>
      </c>
      <c r="N6" s="26">
        <f>H6/J6</f>
        <v>0.17244553544031913</v>
      </c>
      <c r="O6" s="26">
        <f>I6/J6</f>
        <v>0.82755446455968085</v>
      </c>
    </row>
    <row r="7" spans="2:17" x14ac:dyDescent="0.55000000000000004">
      <c r="B7" s="8"/>
      <c r="D7" s="318"/>
      <c r="E7" s="27" t="s">
        <v>3</v>
      </c>
      <c r="F7" s="28">
        <v>4799.0086499999998</v>
      </c>
      <c r="G7" s="28">
        <v>889.04129999999998</v>
      </c>
      <c r="H7" s="29">
        <v>734.32541648794756</v>
      </c>
      <c r="I7" s="29">
        <v>3175.6419335120527</v>
      </c>
      <c r="J7" s="30">
        <v>3909.9673499999999</v>
      </c>
      <c r="K7" s="31">
        <f>(G7/F7)*100</f>
        <v>18.525519848771268</v>
      </c>
      <c r="L7" s="31">
        <f>(H7/F7)*100</f>
        <v>15.301606436736629</v>
      </c>
      <c r="M7" s="31">
        <f>(I7/F7)*100</f>
        <v>66.172873714492113</v>
      </c>
      <c r="N7" s="26">
        <f>H7/J7</f>
        <v>0.18780858016319435</v>
      </c>
      <c r="O7" s="26">
        <f>I7/J7</f>
        <v>0.81219141983680576</v>
      </c>
    </row>
    <row r="8" spans="2:17" x14ac:dyDescent="0.55000000000000004">
      <c r="B8" s="13"/>
      <c r="C8" s="8"/>
      <c r="D8" s="318"/>
      <c r="E8" s="32" t="s">
        <v>1</v>
      </c>
      <c r="F8" s="33">
        <v>5715.2655000000004</v>
      </c>
      <c r="G8" s="33">
        <v>508.02359999999999</v>
      </c>
      <c r="H8" s="34">
        <v>930.56754186836906</v>
      </c>
      <c r="I8" s="34">
        <v>4276.6743581316305</v>
      </c>
      <c r="J8" s="35">
        <v>5207.2419000000009</v>
      </c>
      <c r="K8" s="36">
        <f>(G8/F8)*100</f>
        <v>8.8888888888888875</v>
      </c>
      <c r="L8" s="36">
        <f t="shared" ref="L8:L25" si="0">(H8/F8)*100</f>
        <v>16.282140206231347</v>
      </c>
      <c r="M8" s="36">
        <f t="shared" ref="M8:M25" si="1">(I8/F8)*100</f>
        <v>74.828970904879753</v>
      </c>
      <c r="N8" s="26">
        <f>H8/J8</f>
        <v>0.17870641689766109</v>
      </c>
      <c r="O8" s="26">
        <f>I8/J8</f>
        <v>0.82129358310233869</v>
      </c>
    </row>
    <row r="9" spans="2:17" x14ac:dyDescent="0.55000000000000004">
      <c r="C9" s="123"/>
      <c r="D9" s="318"/>
      <c r="E9" s="37" t="s">
        <v>23</v>
      </c>
      <c r="F9" s="38">
        <v>7792.7191499999999</v>
      </c>
      <c r="G9" s="38">
        <v>335.65845000000002</v>
      </c>
      <c r="H9" s="38">
        <v>1343.3926027027182</v>
      </c>
      <c r="I9" s="38">
        <v>6113.6680972972808</v>
      </c>
      <c r="J9" s="39">
        <v>7457.0607</v>
      </c>
      <c r="K9" s="40">
        <f>(G9/F9)*100</f>
        <v>4.3073341094295694</v>
      </c>
      <c r="L9" s="40">
        <f t="shared" si="0"/>
        <v>17.239073766731579</v>
      </c>
      <c r="M9" s="40">
        <f t="shared" si="1"/>
        <v>78.453592123838831</v>
      </c>
      <c r="N9" s="26">
        <f>H9/J9</f>
        <v>0.18015041807326554</v>
      </c>
      <c r="O9" s="26">
        <f>I9/J9</f>
        <v>0.81984958192673429</v>
      </c>
    </row>
    <row r="10" spans="2:17" ht="14.7" thickBot="1" x14ac:dyDescent="0.6">
      <c r="D10" s="319"/>
      <c r="E10" s="41" t="s">
        <v>2</v>
      </c>
      <c r="F10" s="42">
        <v>7393.5577499999999</v>
      </c>
      <c r="G10" s="42">
        <v>45.359250000000003</v>
      </c>
      <c r="H10" s="43">
        <v>1190.2770712540819</v>
      </c>
      <c r="I10" s="43">
        <v>6157.9214287459181</v>
      </c>
      <c r="J10" s="44">
        <v>7348.1984999999995</v>
      </c>
      <c r="K10" s="45">
        <f>(G10/F10)*100</f>
        <v>0.61349693251533743</v>
      </c>
      <c r="L10" s="45">
        <f t="shared" si="0"/>
        <v>16.098840524429285</v>
      </c>
      <c r="M10" s="45">
        <f t="shared" si="1"/>
        <v>83.28766254305539</v>
      </c>
      <c r="N10" s="26">
        <f>H10/J10</f>
        <v>0.16198216083222058</v>
      </c>
      <c r="O10" s="26">
        <f>I10/J10</f>
        <v>0.8380178391677795</v>
      </c>
    </row>
    <row r="11" spans="2:17" x14ac:dyDescent="0.55000000000000004">
      <c r="D11" s="320" t="s">
        <v>39</v>
      </c>
      <c r="E11" s="46" t="s">
        <v>38</v>
      </c>
      <c r="F11" s="47">
        <v>13181.39805</v>
      </c>
      <c r="G11" s="47">
        <v>1796.2263</v>
      </c>
      <c r="H11" s="47">
        <v>2231.6750999999999</v>
      </c>
      <c r="I11" s="47">
        <v>9153.496650000001</v>
      </c>
      <c r="J11" s="48">
        <v>11385.171750000001</v>
      </c>
      <c r="K11" s="25">
        <f t="shared" ref="K11:K25" si="2">(G11/F11)*100</f>
        <v>13.626978664831386</v>
      </c>
      <c r="L11" s="25">
        <f t="shared" si="0"/>
        <v>16.930488644184447</v>
      </c>
      <c r="M11" s="25">
        <f t="shared" si="1"/>
        <v>69.44253269098418</v>
      </c>
      <c r="Q11" s="11"/>
    </row>
    <row r="12" spans="2:17" x14ac:dyDescent="0.55000000000000004">
      <c r="D12" s="318"/>
      <c r="E12" s="27" t="s">
        <v>3</v>
      </c>
      <c r="F12" s="28">
        <v>3501.7341000000001</v>
      </c>
      <c r="G12" s="28">
        <v>889.04129999999998</v>
      </c>
      <c r="H12" s="29">
        <v>516.42655783410135</v>
      </c>
      <c r="I12" s="29">
        <v>2096.2662421658988</v>
      </c>
      <c r="J12" s="30">
        <v>2612.6928000000003</v>
      </c>
      <c r="K12" s="31">
        <f>(G12/F12)*100</f>
        <v>25.388601036269424</v>
      </c>
      <c r="L12" s="31">
        <f>(H12/F12)*100</f>
        <v>14.747737637592223</v>
      </c>
      <c r="M12" s="31">
        <f>(I12/F12)*100</f>
        <v>59.863661326138349</v>
      </c>
    </row>
    <row r="13" spans="2:17" x14ac:dyDescent="0.55000000000000004">
      <c r="D13" s="318"/>
      <c r="E13" s="32" t="s">
        <v>1</v>
      </c>
      <c r="F13" s="33">
        <v>3438.2311500000001</v>
      </c>
      <c r="G13" s="33">
        <v>508.02359999999999</v>
      </c>
      <c r="H13" s="34">
        <v>571.07849289234514</v>
      </c>
      <c r="I13" s="34">
        <v>2359.1290571076547</v>
      </c>
      <c r="J13" s="35">
        <v>2930.2075500000001</v>
      </c>
      <c r="K13" s="36">
        <f t="shared" si="2"/>
        <v>14.775725593667547</v>
      </c>
      <c r="L13" s="36">
        <f t="shared" si="0"/>
        <v>16.609659676090864</v>
      </c>
      <c r="M13" s="36">
        <f t="shared" si="1"/>
        <v>68.614614730241584</v>
      </c>
    </row>
    <row r="14" spans="2:17" x14ac:dyDescent="0.55000000000000004">
      <c r="D14" s="318"/>
      <c r="E14" s="37" t="s">
        <v>23</v>
      </c>
      <c r="F14" s="38">
        <v>3383.8000500000003</v>
      </c>
      <c r="G14" s="38">
        <v>335.65845000000002</v>
      </c>
      <c r="H14" s="38">
        <v>596.82058338453658</v>
      </c>
      <c r="I14" s="38">
        <v>2451.3210166154631</v>
      </c>
      <c r="J14" s="39">
        <v>3048.1416000000004</v>
      </c>
      <c r="K14" s="40">
        <f t="shared" si="2"/>
        <v>9.9195710455764079</v>
      </c>
      <c r="L14" s="40">
        <f t="shared" si="0"/>
        <v>17.637584212002615</v>
      </c>
      <c r="M14" s="40">
        <f t="shared" si="1"/>
        <v>72.442844742420959</v>
      </c>
      <c r="P14" s="8"/>
    </row>
    <row r="15" spans="2:17" ht="14.7" thickBot="1" x14ac:dyDescent="0.6">
      <c r="C15" s="11"/>
      <c r="D15" s="319"/>
      <c r="E15" s="41" t="s">
        <v>2</v>
      </c>
      <c r="F15" s="42">
        <v>1660.1485500000001</v>
      </c>
      <c r="G15" s="42">
        <v>45.359250000000003</v>
      </c>
      <c r="H15" s="43">
        <v>316.33664044738862</v>
      </c>
      <c r="I15" s="43">
        <v>1298.4526595526113</v>
      </c>
      <c r="J15" s="44">
        <v>1614.7893000000001</v>
      </c>
      <c r="K15" s="45">
        <f t="shared" si="2"/>
        <v>2.7322404371584699</v>
      </c>
      <c r="L15" s="45">
        <f t="shared" si="0"/>
        <v>19.054718955565068</v>
      </c>
      <c r="M15" s="45">
        <f t="shared" si="1"/>
        <v>78.213040607276454</v>
      </c>
      <c r="P15" s="8"/>
    </row>
    <row r="16" spans="2:17" ht="14.7" thickBot="1" x14ac:dyDescent="0.6">
      <c r="D16" s="320" t="s">
        <v>40</v>
      </c>
      <c r="E16" s="46" t="s">
        <v>38</v>
      </c>
      <c r="F16" s="47">
        <v>6767.6001000000006</v>
      </c>
      <c r="G16" s="47">
        <v>163.29330000000002</v>
      </c>
      <c r="H16" s="47">
        <v>1288.2027</v>
      </c>
      <c r="I16" s="47">
        <v>5316.1041000000005</v>
      </c>
      <c r="J16" s="48">
        <v>6604.3068000000003</v>
      </c>
      <c r="K16" s="25">
        <f t="shared" si="2"/>
        <v>2.4128686327077746</v>
      </c>
      <c r="L16" s="25">
        <f t="shared" si="0"/>
        <v>19.034852546916888</v>
      </c>
      <c r="M16" s="25">
        <f t="shared" si="1"/>
        <v>78.552278820375335</v>
      </c>
    </row>
    <row r="17" spans="1:17" ht="14.7" thickBot="1" x14ac:dyDescent="0.6">
      <c r="D17" s="318"/>
      <c r="E17" s="27" t="s">
        <v>3</v>
      </c>
      <c r="F17" s="28">
        <v>698.53245000000004</v>
      </c>
      <c r="G17" s="28">
        <v>0</v>
      </c>
      <c r="H17" s="29">
        <v>136.25220865384617</v>
      </c>
      <c r="I17" s="29">
        <v>562.28024134615384</v>
      </c>
      <c r="J17" s="30">
        <v>698.53245000000004</v>
      </c>
      <c r="K17" s="31">
        <f t="shared" si="2"/>
        <v>0</v>
      </c>
      <c r="L17" s="31">
        <f t="shared" si="0"/>
        <v>19.505494505494507</v>
      </c>
      <c r="M17" s="31">
        <f t="shared" si="1"/>
        <v>80.494505494505489</v>
      </c>
      <c r="O17" s="106" t="s">
        <v>76</v>
      </c>
      <c r="P17" s="108">
        <v>10077331</v>
      </c>
    </row>
    <row r="18" spans="1:17" ht="14.7" thickBot="1" x14ac:dyDescent="0.6">
      <c r="C18" s="8"/>
      <c r="D18" s="318"/>
      <c r="E18" s="32" t="s">
        <v>1</v>
      </c>
      <c r="F18" s="33">
        <v>834.61019999999996</v>
      </c>
      <c r="G18" s="33">
        <v>0</v>
      </c>
      <c r="H18" s="34">
        <v>162.79484670329671</v>
      </c>
      <c r="I18" s="34">
        <v>671.81535329670328</v>
      </c>
      <c r="J18" s="35">
        <v>834.61019999999996</v>
      </c>
      <c r="K18" s="36">
        <f t="shared" si="2"/>
        <v>0</v>
      </c>
      <c r="L18" s="36">
        <f t="shared" si="0"/>
        <v>19.505494505494507</v>
      </c>
      <c r="M18" s="36">
        <f t="shared" si="1"/>
        <v>80.494505494505503</v>
      </c>
      <c r="O18" s="106" t="s">
        <v>75</v>
      </c>
      <c r="P18" s="108">
        <v>331449281</v>
      </c>
    </row>
    <row r="19" spans="1:17" ht="38.1" thickBot="1" x14ac:dyDescent="0.6">
      <c r="D19" s="318"/>
      <c r="E19" s="37" t="s">
        <v>23</v>
      </c>
      <c r="F19" s="38">
        <v>2476.6150499999999</v>
      </c>
      <c r="G19" s="49">
        <v>0</v>
      </c>
      <c r="H19" s="38">
        <v>483.07601249999993</v>
      </c>
      <c r="I19" s="38">
        <v>1993.5390374999999</v>
      </c>
      <c r="J19" s="39">
        <v>2476.6150499999999</v>
      </c>
      <c r="K19" s="40">
        <f t="shared" si="2"/>
        <v>0</v>
      </c>
      <c r="L19" s="40">
        <f t="shared" si="0"/>
        <v>19.505494505494504</v>
      </c>
      <c r="M19" s="40">
        <f t="shared" si="1"/>
        <v>80.494505494505503</v>
      </c>
      <c r="O19" s="145" t="s">
        <v>77</v>
      </c>
      <c r="P19" s="161">
        <f>P17/P18</f>
        <v>3.0403840278657897E-2</v>
      </c>
    </row>
    <row r="20" spans="1:17" ht="14.7" thickBot="1" x14ac:dyDescent="0.6">
      <c r="D20" s="321"/>
      <c r="E20" s="50" t="s">
        <v>2</v>
      </c>
      <c r="F20" s="51">
        <v>1569.4300499999999</v>
      </c>
      <c r="G20" s="51">
        <v>0</v>
      </c>
      <c r="H20" s="52">
        <v>306.12509217032965</v>
      </c>
      <c r="I20" s="52">
        <v>1263.3049578296705</v>
      </c>
      <c r="J20" s="53">
        <v>1569.4300499999999</v>
      </c>
      <c r="K20" s="45">
        <f t="shared" si="2"/>
        <v>0</v>
      </c>
      <c r="L20" s="45">
        <f t="shared" si="0"/>
        <v>19.505494505494507</v>
      </c>
      <c r="M20" s="45">
        <f t="shared" si="1"/>
        <v>80.494505494505503</v>
      </c>
    </row>
    <row r="21" spans="1:17" x14ac:dyDescent="0.55000000000000004">
      <c r="D21" s="320" t="s">
        <v>41</v>
      </c>
      <c r="E21" s="46" t="s">
        <v>38</v>
      </c>
      <c r="F21" s="47">
        <v>12419.362650000001</v>
      </c>
      <c r="G21" s="47">
        <v>843.68205</v>
      </c>
      <c r="H21" s="47">
        <v>1578.5019</v>
      </c>
      <c r="I21" s="47">
        <v>9997.1787000000004</v>
      </c>
      <c r="J21" s="48">
        <v>11575.6806</v>
      </c>
      <c r="K21" s="25">
        <f t="shared" si="2"/>
        <v>6.7932797662527387</v>
      </c>
      <c r="L21" s="25">
        <f t="shared" si="0"/>
        <v>12.710007304601897</v>
      </c>
      <c r="M21" s="25">
        <f t="shared" si="1"/>
        <v>80.49671292914536</v>
      </c>
      <c r="P21" s="8"/>
      <c r="Q21" s="8"/>
    </row>
    <row r="22" spans="1:17" x14ac:dyDescent="0.55000000000000004">
      <c r="D22" s="318"/>
      <c r="E22" s="27" t="s">
        <v>3</v>
      </c>
      <c r="F22" s="28">
        <v>598.74210000000005</v>
      </c>
      <c r="G22" s="28">
        <v>0</v>
      </c>
      <c r="H22" s="29">
        <v>81.646650000000008</v>
      </c>
      <c r="I22" s="29">
        <v>517.09545000000003</v>
      </c>
      <c r="J22" s="30">
        <v>598.74210000000005</v>
      </c>
      <c r="K22" s="31">
        <f t="shared" si="2"/>
        <v>0</v>
      </c>
      <c r="L22" s="31">
        <f t="shared" si="0"/>
        <v>13.636363636363635</v>
      </c>
      <c r="M22" s="31">
        <f t="shared" si="1"/>
        <v>86.36363636363636</v>
      </c>
      <c r="O22" s="11"/>
      <c r="P22" s="8"/>
      <c r="Q22" s="8"/>
    </row>
    <row r="23" spans="1:17" x14ac:dyDescent="0.55000000000000004">
      <c r="C23" s="11"/>
      <c r="D23" s="318"/>
      <c r="E23" s="32" t="s">
        <v>1</v>
      </c>
      <c r="F23" s="33">
        <v>1442.4241500000001</v>
      </c>
      <c r="G23" s="33">
        <v>0</v>
      </c>
      <c r="H23" s="34">
        <v>196.6942022727273</v>
      </c>
      <c r="I23" s="34">
        <v>1245.7299477272729</v>
      </c>
      <c r="J23" s="35">
        <v>1442.4241500000001</v>
      </c>
      <c r="K23" s="36">
        <f t="shared" si="2"/>
        <v>0</v>
      </c>
      <c r="L23" s="36">
        <f t="shared" si="0"/>
        <v>13.636363636363638</v>
      </c>
      <c r="M23" s="36">
        <f t="shared" si="1"/>
        <v>86.363636363636374</v>
      </c>
    </row>
    <row r="24" spans="1:17" x14ac:dyDescent="0.55000000000000004">
      <c r="D24" s="318"/>
      <c r="E24" s="37" t="s">
        <v>23</v>
      </c>
      <c r="F24" s="38">
        <v>1932.30405</v>
      </c>
      <c r="G24" s="49">
        <v>0</v>
      </c>
      <c r="H24" s="38">
        <v>263.49600681818185</v>
      </c>
      <c r="I24" s="38">
        <v>1668.8080431818184</v>
      </c>
      <c r="J24" s="39">
        <v>1932.30405</v>
      </c>
      <c r="K24" s="40">
        <f t="shared" si="2"/>
        <v>0</v>
      </c>
      <c r="L24" s="40">
        <f t="shared" si="0"/>
        <v>13.636363636363638</v>
      </c>
      <c r="M24" s="40">
        <f t="shared" si="1"/>
        <v>86.363636363636374</v>
      </c>
      <c r="P24" s="13"/>
    </row>
    <row r="25" spans="1:17" ht="14.7" thickBot="1" x14ac:dyDescent="0.6">
      <c r="D25" s="321"/>
      <c r="E25" s="50" t="s">
        <v>2</v>
      </c>
      <c r="F25" s="51">
        <v>4163.9791500000001</v>
      </c>
      <c r="G25" s="51">
        <v>0</v>
      </c>
      <c r="H25" s="54">
        <v>567.81533863636366</v>
      </c>
      <c r="I25" s="54">
        <v>3596.1638113636368</v>
      </c>
      <c r="J25" s="53">
        <v>4163.9791500000001</v>
      </c>
      <c r="K25" s="45">
        <f t="shared" si="2"/>
        <v>0</v>
      </c>
      <c r="L25" s="45">
        <f t="shared" si="0"/>
        <v>13.636363636363635</v>
      </c>
      <c r="M25" s="45">
        <f t="shared" si="1"/>
        <v>86.363636363636374</v>
      </c>
      <c r="P25" s="11"/>
    </row>
    <row r="28" spans="1:17" ht="14.7" thickBot="1" x14ac:dyDescent="0.6"/>
    <row r="29" spans="1:17" ht="29.4" customHeight="1" x14ac:dyDescent="0.55000000000000004">
      <c r="A29" s="55" t="s">
        <v>42</v>
      </c>
      <c r="D29" s="309" t="s">
        <v>43</v>
      </c>
      <c r="E29" s="310"/>
      <c r="F29" s="310"/>
      <c r="G29" s="310"/>
      <c r="H29" s="310"/>
      <c r="I29" s="311"/>
      <c r="L29" s="309" t="s">
        <v>43</v>
      </c>
      <c r="M29" s="310"/>
      <c r="N29" s="310"/>
      <c r="O29" s="310"/>
      <c r="P29" s="310"/>
      <c r="Q29" s="311"/>
    </row>
    <row r="30" spans="1:17" ht="57.6" x14ac:dyDescent="0.55000000000000004">
      <c r="A30" s="56" t="s">
        <v>44</v>
      </c>
      <c r="D30" s="312" t="s">
        <v>45</v>
      </c>
      <c r="E30" s="313"/>
      <c r="F30" s="313"/>
      <c r="G30" s="313"/>
      <c r="H30" s="313"/>
      <c r="I30" s="314"/>
      <c r="L30" s="312" t="s">
        <v>46</v>
      </c>
      <c r="M30" s="313"/>
      <c r="N30" s="313"/>
      <c r="O30" s="313"/>
      <c r="P30" s="313"/>
      <c r="Q30" s="314"/>
    </row>
    <row r="31" spans="1:17" ht="70.8" customHeight="1" thickBot="1" x14ac:dyDescent="0.6">
      <c r="A31" s="57" t="s">
        <v>47</v>
      </c>
      <c r="D31" s="58" t="s">
        <v>48</v>
      </c>
      <c r="E31" s="59" t="s">
        <v>49</v>
      </c>
      <c r="F31" s="59" t="s">
        <v>50</v>
      </c>
      <c r="G31" s="60" t="s">
        <v>22</v>
      </c>
      <c r="H31" s="60" t="s">
        <v>21</v>
      </c>
      <c r="I31" s="61" t="s">
        <v>31</v>
      </c>
      <c r="L31" s="62" t="s">
        <v>48</v>
      </c>
      <c r="M31" s="17" t="s">
        <v>49</v>
      </c>
      <c r="N31" s="17" t="s">
        <v>50</v>
      </c>
      <c r="O31" s="18" t="s">
        <v>22</v>
      </c>
      <c r="P31" s="18" t="s">
        <v>21</v>
      </c>
      <c r="Q31" s="19" t="s">
        <v>31</v>
      </c>
    </row>
    <row r="32" spans="1:17" ht="28.8" x14ac:dyDescent="0.55000000000000004">
      <c r="C32" s="8"/>
      <c r="D32" s="63" t="s">
        <v>51</v>
      </c>
      <c r="E32" s="64">
        <v>2839.4890500000001</v>
      </c>
      <c r="F32" s="64">
        <v>825.53835000000004</v>
      </c>
      <c r="G32" s="64">
        <v>399.16140000000001</v>
      </c>
      <c r="H32" s="64">
        <v>1614.7893000000001</v>
      </c>
      <c r="I32" s="65"/>
      <c r="L32" s="66" t="s">
        <v>52</v>
      </c>
      <c r="M32" s="67">
        <v>934.40055000000007</v>
      </c>
      <c r="N32" s="68">
        <v>0</v>
      </c>
      <c r="O32" s="67">
        <v>181.43700000000001</v>
      </c>
      <c r="P32" s="67">
        <v>752.96355000000005</v>
      </c>
      <c r="Q32" s="69">
        <v>934.40055000000007</v>
      </c>
    </row>
    <row r="33" spans="2:17" ht="43.2" x14ac:dyDescent="0.55000000000000004">
      <c r="D33" s="70" t="s">
        <v>53</v>
      </c>
      <c r="E33" s="67">
        <v>4046.0451000000003</v>
      </c>
      <c r="F33" s="67">
        <v>108.8622</v>
      </c>
      <c r="G33" s="67">
        <v>771.10725000000002</v>
      </c>
      <c r="H33" s="67">
        <v>3166.0756500000002</v>
      </c>
      <c r="I33" s="69">
        <f>G33+H33</f>
        <v>3937.1829000000002</v>
      </c>
      <c r="L33" s="71" t="s">
        <v>23</v>
      </c>
      <c r="M33" s="67">
        <v>18.143699999999999</v>
      </c>
      <c r="N33" s="68">
        <v>0</v>
      </c>
      <c r="O33" s="72">
        <v>3.5230485436893204</v>
      </c>
      <c r="P33" s="72">
        <v>14.620651456310679</v>
      </c>
      <c r="Q33" s="69">
        <v>18.143699999999999</v>
      </c>
    </row>
    <row r="34" spans="2:17" ht="29.1" thickBot="1" x14ac:dyDescent="0.6">
      <c r="B34" s="162"/>
      <c r="C34" s="164"/>
      <c r="D34" s="73" t="s">
        <v>54</v>
      </c>
      <c r="E34" s="67">
        <v>662.24504999999999</v>
      </c>
      <c r="F34" s="67">
        <v>63.502949999999998</v>
      </c>
      <c r="G34" s="72">
        <f>(I34/I33)*G33</f>
        <v>117.26515783410137</v>
      </c>
      <c r="H34" s="72">
        <f>(I34/I33)*H33</f>
        <v>481.47694216589861</v>
      </c>
      <c r="I34" s="74">
        <f>E34-F34</f>
        <v>598.74209999999994</v>
      </c>
      <c r="L34" s="75" t="s">
        <v>2</v>
      </c>
      <c r="M34" s="67">
        <v>145.14959999999999</v>
      </c>
      <c r="N34" s="68">
        <v>0</v>
      </c>
      <c r="O34" s="72">
        <v>28.184388349514563</v>
      </c>
      <c r="P34" s="72">
        <v>116.96521165048543</v>
      </c>
      <c r="Q34" s="69">
        <v>145.14959999999999</v>
      </c>
    </row>
    <row r="35" spans="2:17" ht="14.7" thickBot="1" x14ac:dyDescent="0.6">
      <c r="B35" s="7"/>
      <c r="D35" s="76" t="s">
        <v>55</v>
      </c>
      <c r="E35" s="77">
        <v>3501.7341000000001</v>
      </c>
      <c r="F35" s="77">
        <v>889.04129999999998</v>
      </c>
      <c r="G35" s="78">
        <f>G32+G34</f>
        <v>516.42655783410135</v>
      </c>
      <c r="H35" s="79">
        <f>H32+H34</f>
        <v>2096.2662421658988</v>
      </c>
      <c r="I35" s="80"/>
      <c r="J35" s="8"/>
      <c r="L35" s="306"/>
      <c r="M35" s="307"/>
      <c r="N35" s="307"/>
      <c r="O35" s="307"/>
      <c r="P35" s="307"/>
      <c r="Q35" s="308"/>
    </row>
    <row r="36" spans="2:17" x14ac:dyDescent="0.55000000000000004">
      <c r="D36" s="306"/>
      <c r="E36" s="307"/>
      <c r="F36" s="307"/>
      <c r="G36" s="307"/>
      <c r="H36" s="307"/>
      <c r="I36" s="308"/>
      <c r="L36" s="81" t="s">
        <v>56</v>
      </c>
      <c r="M36" s="82">
        <v>1115.83755</v>
      </c>
      <c r="N36" s="68">
        <v>0</v>
      </c>
      <c r="O36" s="82">
        <v>217.7244</v>
      </c>
      <c r="P36" s="82">
        <v>898.11315000000002</v>
      </c>
      <c r="Q36" s="69">
        <v>1115.83755</v>
      </c>
    </row>
    <row r="37" spans="2:17" ht="28.8" x14ac:dyDescent="0.55000000000000004">
      <c r="B37" s="13"/>
      <c r="D37" s="73" t="s">
        <v>57</v>
      </c>
      <c r="E37" s="67">
        <v>680.38874999999996</v>
      </c>
      <c r="F37" s="67">
        <v>199.58070000000001</v>
      </c>
      <c r="G37" s="67">
        <v>90.718500000000006</v>
      </c>
      <c r="H37" s="67">
        <v>390.08955000000003</v>
      </c>
      <c r="I37" s="69"/>
      <c r="L37" s="83" t="s">
        <v>1</v>
      </c>
      <c r="M37" s="82">
        <v>208.65254999999999</v>
      </c>
      <c r="N37" s="68">
        <v>0</v>
      </c>
      <c r="O37" s="72">
        <v>40.712692682926829</v>
      </c>
      <c r="P37" s="72">
        <v>167.93985731707318</v>
      </c>
      <c r="Q37" s="69">
        <v>208.65254999999999</v>
      </c>
    </row>
    <row r="38" spans="2:17" ht="43.2" x14ac:dyDescent="0.55000000000000004">
      <c r="D38" s="66" t="s">
        <v>58</v>
      </c>
      <c r="E38" s="67">
        <v>1805.2981500000001</v>
      </c>
      <c r="F38" s="67">
        <v>281.22735</v>
      </c>
      <c r="G38" s="67">
        <v>299.37105000000003</v>
      </c>
      <c r="H38" s="67">
        <v>1224.69975</v>
      </c>
      <c r="I38" s="69">
        <f>G38+H38</f>
        <v>1524.0708</v>
      </c>
      <c r="L38" s="83" t="s">
        <v>23</v>
      </c>
      <c r="M38" s="82">
        <v>907.18500000000006</v>
      </c>
      <c r="N38" s="68">
        <v>0</v>
      </c>
      <c r="O38" s="72">
        <v>177.01170731707319</v>
      </c>
      <c r="P38" s="72">
        <v>730.1732926829269</v>
      </c>
      <c r="Q38" s="69">
        <v>907.18500000000006</v>
      </c>
    </row>
    <row r="39" spans="2:17" ht="28.8" x14ac:dyDescent="0.55000000000000004">
      <c r="B39" s="13"/>
      <c r="D39" s="73" t="s">
        <v>59</v>
      </c>
      <c r="E39" s="67">
        <v>1451.4960000000001</v>
      </c>
      <c r="F39" s="67">
        <v>263.08364999999998</v>
      </c>
      <c r="G39" s="72">
        <f>(I39/I38)*G38</f>
        <v>233.43814017857144</v>
      </c>
      <c r="H39" s="72">
        <f>(I39/I38)*H38</f>
        <v>954.97420982142853</v>
      </c>
      <c r="I39" s="69">
        <f>E39-F39</f>
        <v>1188.4123500000001</v>
      </c>
      <c r="L39" s="306"/>
      <c r="M39" s="307"/>
      <c r="N39" s="307"/>
      <c r="O39" s="307"/>
      <c r="P39" s="307"/>
      <c r="Q39" s="308"/>
    </row>
    <row r="40" spans="2:17" ht="43.2" x14ac:dyDescent="0.55000000000000004">
      <c r="D40" s="66" t="s">
        <v>60</v>
      </c>
      <c r="E40" s="67">
        <v>3810.1770000000001</v>
      </c>
      <c r="F40" s="67">
        <v>381.01769999999999</v>
      </c>
      <c r="G40" s="67">
        <v>671.31690000000003</v>
      </c>
      <c r="H40" s="67">
        <v>2757.8424</v>
      </c>
      <c r="I40" s="69">
        <v>3429.1593000000003</v>
      </c>
      <c r="L40" s="84" t="s">
        <v>61</v>
      </c>
      <c r="M40" s="67">
        <v>4717.3620000000001</v>
      </c>
      <c r="N40" s="67">
        <v>163.29330000000002</v>
      </c>
      <c r="O40" s="67">
        <v>889.04129999999998</v>
      </c>
      <c r="P40" s="67">
        <v>3665.0273999999999</v>
      </c>
      <c r="Q40" s="69">
        <v>4554.0686999999998</v>
      </c>
    </row>
    <row r="41" spans="2:17" ht="43.2" x14ac:dyDescent="0.55000000000000004">
      <c r="B41" s="13"/>
      <c r="D41" s="73" t="s">
        <v>62</v>
      </c>
      <c r="E41" s="67">
        <v>580.59839999999997</v>
      </c>
      <c r="F41" s="67">
        <v>45.359250000000003</v>
      </c>
      <c r="G41" s="72">
        <f>(I41/I40)*G40</f>
        <v>104.78226746031746</v>
      </c>
      <c r="H41" s="72">
        <f>(I41/I40)*H40</f>
        <v>430.45688253968251</v>
      </c>
      <c r="I41" s="69">
        <f>E41-F41</f>
        <v>535.23915</v>
      </c>
      <c r="L41" s="75" t="s">
        <v>3</v>
      </c>
      <c r="M41" s="67">
        <v>698.53245000000004</v>
      </c>
      <c r="N41" s="68">
        <v>0</v>
      </c>
      <c r="O41" s="72">
        <v>136.36689262948207</v>
      </c>
      <c r="P41" s="72">
        <v>562.16555737051794</v>
      </c>
      <c r="Q41" s="69">
        <v>698.53245000000004</v>
      </c>
    </row>
    <row r="42" spans="2:17" x14ac:dyDescent="0.55000000000000004">
      <c r="D42" s="306"/>
      <c r="E42" s="307"/>
      <c r="F42" s="307"/>
      <c r="G42" s="307"/>
      <c r="H42" s="307"/>
      <c r="I42" s="308"/>
      <c r="L42" s="75" t="s">
        <v>1</v>
      </c>
      <c r="M42" s="67">
        <v>625.95765000000006</v>
      </c>
      <c r="N42" s="68">
        <v>0</v>
      </c>
      <c r="O42" s="72">
        <v>122.19890378486058</v>
      </c>
      <c r="P42" s="72">
        <v>503.75874621513947</v>
      </c>
      <c r="Q42" s="69">
        <v>625.95765000000006</v>
      </c>
    </row>
    <row r="43" spans="2:17" ht="29.1" thickBot="1" x14ac:dyDescent="0.6">
      <c r="D43" s="85" t="s">
        <v>63</v>
      </c>
      <c r="E43" s="67">
        <v>725.74800000000005</v>
      </c>
      <c r="F43" s="86">
        <v>0</v>
      </c>
      <c r="G43" s="72">
        <f>(I43/I33)*G33</f>
        <v>142.13958525345623</v>
      </c>
      <c r="H43" s="72">
        <f>(I43/I33)*H33</f>
        <v>583.60841474654387</v>
      </c>
      <c r="I43" s="69">
        <f>E43-F43</f>
        <v>725.74800000000005</v>
      </c>
      <c r="L43" s="75" t="s">
        <v>23</v>
      </c>
      <c r="M43" s="67">
        <v>1551.2863500000001</v>
      </c>
      <c r="N43" s="68">
        <v>0</v>
      </c>
      <c r="O43" s="72">
        <v>302.84076155378489</v>
      </c>
      <c r="P43" s="72">
        <v>1248.4455884462152</v>
      </c>
      <c r="Q43" s="69">
        <v>1551.2863500000001</v>
      </c>
    </row>
    <row r="44" spans="2:17" ht="14.7" thickBot="1" x14ac:dyDescent="0.6">
      <c r="D44" s="87" t="s">
        <v>64</v>
      </c>
      <c r="E44" s="88">
        <v>3438.2311500000001</v>
      </c>
      <c r="F44" s="88">
        <v>508.02359999999999</v>
      </c>
      <c r="G44" s="89">
        <f>G37+G39+G41+G43</f>
        <v>571.07849289234514</v>
      </c>
      <c r="H44" s="90">
        <f>H37+H39+H41+H43</f>
        <v>2359.1290571076547</v>
      </c>
      <c r="I44" s="80"/>
      <c r="J44" s="8"/>
      <c r="L44" s="91" t="s">
        <v>2</v>
      </c>
      <c r="M44" s="92">
        <v>1424.28045</v>
      </c>
      <c r="N44" s="93">
        <v>0</v>
      </c>
      <c r="O44" s="94">
        <v>278.0467810756972</v>
      </c>
      <c r="P44" s="94">
        <v>1146.2336689243027</v>
      </c>
      <c r="Q44" s="95">
        <v>1424.28045</v>
      </c>
    </row>
    <row r="45" spans="2:17" ht="14.7" thickBot="1" x14ac:dyDescent="0.6">
      <c r="D45" s="306"/>
      <c r="E45" s="307"/>
      <c r="F45" s="307"/>
      <c r="G45" s="307"/>
      <c r="H45" s="307"/>
      <c r="I45" s="308"/>
    </row>
    <row r="46" spans="2:17" ht="43.5" thickBot="1" x14ac:dyDescent="0.6">
      <c r="D46" s="73" t="s">
        <v>65</v>
      </c>
      <c r="E46" s="67">
        <v>36.287399999999998</v>
      </c>
      <c r="F46" s="86">
        <v>0</v>
      </c>
      <c r="G46" s="72">
        <f>(I46/I38)*G38</f>
        <v>7.1278821428571435</v>
      </c>
      <c r="H46" s="72">
        <f>(I46/I38)*H38</f>
        <v>29.159517857142855</v>
      </c>
      <c r="I46" s="69">
        <f>E46</f>
        <v>36.287399999999998</v>
      </c>
      <c r="L46" s="76" t="s">
        <v>55</v>
      </c>
      <c r="M46" s="96">
        <f>M41</f>
        <v>698.53245000000004</v>
      </c>
      <c r="N46" s="97">
        <v>0</v>
      </c>
      <c r="O46" s="96">
        <f>O41</f>
        <v>136.36689262948207</v>
      </c>
      <c r="P46" s="98">
        <f>P41</f>
        <v>562.16555737051794</v>
      </c>
    </row>
    <row r="47" spans="2:17" ht="43.5" thickBot="1" x14ac:dyDescent="0.6">
      <c r="B47" s="13"/>
      <c r="D47" s="73" t="s">
        <v>66</v>
      </c>
      <c r="E47" s="67">
        <v>2521.9742999999999</v>
      </c>
      <c r="F47" s="67">
        <v>335.65845000000002</v>
      </c>
      <c r="G47" s="72">
        <f>(I47/I40)*G40</f>
        <v>428.00892301587305</v>
      </c>
      <c r="H47" s="72">
        <f>(I47/I40)*H40</f>
        <v>1758.3069269841269</v>
      </c>
      <c r="I47" s="69">
        <f>E47-F47</f>
        <v>2186.31585</v>
      </c>
      <c r="J47" s="8"/>
      <c r="L47" s="76" t="s">
        <v>67</v>
      </c>
      <c r="M47" s="96">
        <f>M37+M42</f>
        <v>834.61020000000008</v>
      </c>
      <c r="N47" s="97">
        <v>0</v>
      </c>
      <c r="O47" s="96">
        <f>O37+O42</f>
        <v>162.9115964677874</v>
      </c>
      <c r="P47" s="98">
        <f>P37+P42</f>
        <v>671.6986035322127</v>
      </c>
    </row>
    <row r="48" spans="2:17" ht="43.5" thickBot="1" x14ac:dyDescent="0.6">
      <c r="D48" s="73" t="s">
        <v>68</v>
      </c>
      <c r="E48" s="67">
        <v>825.53835000000004</v>
      </c>
      <c r="F48" s="86">
        <v>0</v>
      </c>
      <c r="G48" s="72">
        <f>(I48/I33)*G33</f>
        <v>161.68377822580646</v>
      </c>
      <c r="H48" s="72">
        <f>(I48/I33)*H33</f>
        <v>663.85457177419357</v>
      </c>
      <c r="I48" s="99">
        <f>E48-F48</f>
        <v>825.53835000000004</v>
      </c>
      <c r="J48" s="8"/>
      <c r="L48" s="87" t="s">
        <v>69</v>
      </c>
      <c r="M48" s="96">
        <f>M33+M38+M43</f>
        <v>2476.6150500000003</v>
      </c>
      <c r="N48" s="97">
        <v>0</v>
      </c>
      <c r="O48" s="96">
        <f>O33+O38+O43</f>
        <v>483.3755174145474</v>
      </c>
      <c r="P48" s="98">
        <f>P33+P38+P43</f>
        <v>1993.2395325854527</v>
      </c>
    </row>
    <row r="49" spans="2:16" ht="29.1" thickBot="1" x14ac:dyDescent="0.6">
      <c r="D49" s="100" t="s">
        <v>69</v>
      </c>
      <c r="E49" s="101">
        <v>3383.8000500000003</v>
      </c>
      <c r="F49" s="101">
        <v>335.65845000000002</v>
      </c>
      <c r="G49" s="102">
        <v>596.82058338453658</v>
      </c>
      <c r="H49" s="103">
        <v>2451.3210166154631</v>
      </c>
      <c r="I49" s="104"/>
      <c r="L49" s="76" t="s">
        <v>70</v>
      </c>
      <c r="M49" s="96">
        <f>M34+M44</f>
        <v>1569.4300499999999</v>
      </c>
      <c r="N49" s="97">
        <v>0</v>
      </c>
      <c r="O49" s="96">
        <f>O34+O44</f>
        <v>306.23116942521176</v>
      </c>
      <c r="P49" s="98">
        <f>P34+P44</f>
        <v>1263.1988805747881</v>
      </c>
    </row>
    <row r="50" spans="2:16" x14ac:dyDescent="0.55000000000000004">
      <c r="D50" s="306"/>
      <c r="E50" s="307"/>
      <c r="F50" s="307"/>
      <c r="G50" s="307"/>
      <c r="H50" s="307"/>
      <c r="I50" s="308"/>
    </row>
    <row r="51" spans="2:16" ht="28.8" x14ac:dyDescent="0.55000000000000004">
      <c r="B51" s="13"/>
      <c r="D51" s="73" t="s">
        <v>71</v>
      </c>
      <c r="E51" s="67">
        <v>226.79625000000001</v>
      </c>
      <c r="F51" s="67">
        <v>18.143699999999999</v>
      </c>
      <c r="G51" s="72">
        <f>(I51/I38)*G38</f>
        <v>40.985322321428576</v>
      </c>
      <c r="H51" s="72">
        <f>(I51/I38)*H38</f>
        <v>167.66722767857144</v>
      </c>
      <c r="I51" s="69">
        <f>E51-F51</f>
        <v>208.65255000000002</v>
      </c>
      <c r="J51" s="8"/>
    </row>
    <row r="52" spans="2:16" ht="43.2" x14ac:dyDescent="0.55000000000000004">
      <c r="B52" s="13"/>
      <c r="D52" s="73" t="s">
        <v>72</v>
      </c>
      <c r="E52" s="67">
        <v>517.09545000000003</v>
      </c>
      <c r="F52" s="86">
        <v>0</v>
      </c>
      <c r="G52" s="72">
        <f>(I52/I40)*G40</f>
        <v>101.23032619047619</v>
      </c>
      <c r="H52" s="72">
        <f>(I52/I40)*H40</f>
        <v>415.86512380952377</v>
      </c>
      <c r="I52" s="69">
        <f>E52-F52</f>
        <v>517.09545000000003</v>
      </c>
    </row>
    <row r="53" spans="2:16" ht="29.1" thickBot="1" x14ac:dyDescent="0.6">
      <c r="D53" s="85" t="s">
        <v>73</v>
      </c>
      <c r="E53" s="67">
        <v>916.25684999999999</v>
      </c>
      <c r="F53" s="67">
        <v>27.21555</v>
      </c>
      <c r="G53" s="72">
        <f>(I53/I33)*G33</f>
        <v>174.12099193548386</v>
      </c>
      <c r="H53" s="72">
        <f>(I53/I33)*H33</f>
        <v>714.92030806451612</v>
      </c>
      <c r="I53" s="69">
        <f>E53-F53</f>
        <v>889.04129999999998</v>
      </c>
      <c r="J53" s="8"/>
    </row>
    <row r="54" spans="2:16" ht="14.7" thickBot="1" x14ac:dyDescent="0.6">
      <c r="D54" s="87" t="s">
        <v>74</v>
      </c>
      <c r="E54" s="88">
        <v>1660.1485500000001</v>
      </c>
      <c r="F54" s="88">
        <v>45.359250000000003</v>
      </c>
      <c r="G54" s="89">
        <f>G51+G52+G53</f>
        <v>316.33664044738862</v>
      </c>
      <c r="H54" s="90">
        <f>H51+H52+H53</f>
        <v>1298.4526595526113</v>
      </c>
      <c r="I54" s="105"/>
    </row>
    <row r="56" spans="2:16" x14ac:dyDescent="0.55000000000000004">
      <c r="H56" s="8"/>
    </row>
  </sheetData>
  <mergeCells count="15">
    <mergeCell ref="F4:J4"/>
    <mergeCell ref="D6:D10"/>
    <mergeCell ref="D11:D15"/>
    <mergeCell ref="D16:D20"/>
    <mergeCell ref="D21:D25"/>
    <mergeCell ref="D42:I42"/>
    <mergeCell ref="D45:I45"/>
    <mergeCell ref="D50:I50"/>
    <mergeCell ref="L29:Q29"/>
    <mergeCell ref="D30:I30"/>
    <mergeCell ref="L30:Q30"/>
    <mergeCell ref="L35:Q35"/>
    <mergeCell ref="D36:I36"/>
    <mergeCell ref="L39:Q39"/>
    <mergeCell ref="D29:I2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04D96-CEBF-403F-84AD-65C697689B8D}">
  <dimension ref="A2:AL99"/>
  <sheetViews>
    <sheetView topLeftCell="A16" zoomScale="70" zoomScaleNormal="70" workbookViewId="0">
      <selection activeCell="G57" sqref="G57"/>
    </sheetView>
  </sheetViews>
  <sheetFormatPr defaultRowHeight="14.4" x14ac:dyDescent="0.55000000000000004"/>
  <cols>
    <col min="1" max="1" width="10.89453125" bestFit="1" customWidth="1"/>
    <col min="2" max="2" width="13.1015625" bestFit="1" customWidth="1"/>
    <col min="3" max="3" width="127.89453125" bestFit="1" customWidth="1"/>
    <col min="4" max="5" width="13.68359375" bestFit="1" customWidth="1"/>
    <col min="6" max="6" width="14" bestFit="1" customWidth="1"/>
    <col min="7" max="8" width="13.41796875" bestFit="1" customWidth="1"/>
    <col min="9" max="9" width="13.7890625" bestFit="1" customWidth="1"/>
    <col min="10" max="10" width="13.5234375" bestFit="1" customWidth="1"/>
    <col min="12" max="13" width="13.41796875" bestFit="1" customWidth="1"/>
    <col min="14" max="14" width="13.68359375" bestFit="1" customWidth="1"/>
    <col min="16" max="16" width="13.89453125" bestFit="1" customWidth="1"/>
    <col min="17" max="17" width="12.41796875" bestFit="1" customWidth="1"/>
    <col min="18" max="21" width="13.20703125" bestFit="1" customWidth="1"/>
    <col min="22" max="22" width="13.89453125" bestFit="1" customWidth="1"/>
    <col min="24" max="24" width="14" bestFit="1" customWidth="1"/>
    <col min="25" max="26" width="15.20703125" bestFit="1" customWidth="1"/>
    <col min="28" max="28" width="12.7890625" bestFit="1" customWidth="1"/>
    <col min="29" max="29" width="13.7890625" bestFit="1" customWidth="1"/>
    <col min="30" max="30" width="12.7890625" bestFit="1" customWidth="1"/>
    <col min="31" max="33" width="13" bestFit="1" customWidth="1"/>
    <col min="34" max="34" width="12.7890625" bestFit="1" customWidth="1"/>
    <col min="36" max="36" width="13.3125" bestFit="1" customWidth="1"/>
    <col min="37" max="37" width="14" bestFit="1" customWidth="1"/>
    <col min="38" max="38" width="13.7890625" bestFit="1" customWidth="1"/>
  </cols>
  <sheetData>
    <row r="2" spans="1:38" x14ac:dyDescent="0.55000000000000004">
      <c r="D2" s="10" t="s">
        <v>182</v>
      </c>
      <c r="E2" s="10"/>
      <c r="F2" s="10" t="s">
        <v>183</v>
      </c>
      <c r="G2" s="10"/>
      <c r="H2" s="10" t="s">
        <v>184</v>
      </c>
    </row>
    <row r="3" spans="1:38" x14ac:dyDescent="0.55000000000000004">
      <c r="B3" s="9" t="s">
        <v>245</v>
      </c>
      <c r="D3" s="125">
        <v>2019</v>
      </c>
      <c r="E3" s="9"/>
      <c r="F3" s="125">
        <v>2019</v>
      </c>
      <c r="G3" s="9"/>
      <c r="H3" s="125">
        <v>2019</v>
      </c>
    </row>
    <row r="4" spans="1:38" x14ac:dyDescent="0.55000000000000004">
      <c r="A4" t="s">
        <v>0</v>
      </c>
      <c r="B4" s="4">
        <v>3917.21</v>
      </c>
      <c r="C4" s="2" t="s">
        <v>6</v>
      </c>
      <c r="D4" s="130">
        <v>4713.03</v>
      </c>
      <c r="E4" s="7"/>
      <c r="F4" s="128">
        <v>17856.93</v>
      </c>
      <c r="G4" s="7"/>
      <c r="H4" s="126">
        <f t="shared" ref="H4:H15" si="0">F4-D4</f>
        <v>13143.900000000001</v>
      </c>
      <c r="I4" s="7"/>
      <c r="J4" s="7"/>
      <c r="L4" s="7"/>
      <c r="M4" s="7"/>
      <c r="N4" s="7"/>
      <c r="AB4" s="8"/>
      <c r="AC4" s="8"/>
      <c r="AD4" s="8"/>
      <c r="AE4" s="8"/>
      <c r="AF4" s="8"/>
      <c r="AG4" s="8"/>
      <c r="AH4" s="8"/>
      <c r="AJ4" s="8"/>
      <c r="AK4" s="8"/>
      <c r="AL4" s="8"/>
    </row>
    <row r="5" spans="1:38" x14ac:dyDescent="0.55000000000000004">
      <c r="B5" s="4">
        <v>3917.29</v>
      </c>
      <c r="C5" s="2" t="s">
        <v>8</v>
      </c>
      <c r="D5" s="130">
        <v>2272</v>
      </c>
      <c r="E5" s="7"/>
      <c r="F5" s="128">
        <v>20858.900000000001</v>
      </c>
      <c r="G5" s="7"/>
      <c r="H5" s="126">
        <f t="shared" si="0"/>
        <v>18586.900000000001</v>
      </c>
      <c r="I5" s="7"/>
      <c r="J5" s="7"/>
      <c r="L5" s="7"/>
      <c r="M5" s="7"/>
      <c r="N5" s="7"/>
      <c r="AB5" s="8"/>
      <c r="AC5" s="8"/>
      <c r="AD5" s="8"/>
      <c r="AE5" s="8"/>
      <c r="AF5" s="8"/>
      <c r="AG5" s="8"/>
      <c r="AH5" s="8"/>
      <c r="AJ5" s="8"/>
      <c r="AK5" s="8"/>
      <c r="AL5" s="8"/>
    </row>
    <row r="6" spans="1:38" x14ac:dyDescent="0.55000000000000004">
      <c r="B6" s="4">
        <v>3917.31</v>
      </c>
      <c r="C6" t="s">
        <v>9</v>
      </c>
      <c r="D6" s="130">
        <v>2581.75</v>
      </c>
      <c r="E6" s="7"/>
      <c r="F6" s="128">
        <v>10805.900000000001</v>
      </c>
      <c r="G6" s="7"/>
      <c r="H6" s="126">
        <f t="shared" si="0"/>
        <v>8224.1500000000015</v>
      </c>
      <c r="I6" s="7"/>
      <c r="J6" s="7"/>
      <c r="L6" s="7"/>
      <c r="M6" s="7"/>
      <c r="N6" s="7"/>
      <c r="AB6" s="8"/>
      <c r="AC6" s="8"/>
      <c r="AD6" s="8"/>
      <c r="AE6" s="8"/>
      <c r="AF6" s="8"/>
      <c r="AG6" s="8"/>
      <c r="AH6" s="8"/>
      <c r="AJ6" s="8"/>
      <c r="AK6" s="8"/>
      <c r="AL6" s="8"/>
    </row>
    <row r="7" spans="1:38" x14ac:dyDescent="0.55000000000000004">
      <c r="B7" s="4">
        <v>3917.32</v>
      </c>
      <c r="C7" t="s">
        <v>10</v>
      </c>
      <c r="D7" s="130">
        <v>51231.65</v>
      </c>
      <c r="E7" s="7"/>
      <c r="F7" s="128">
        <v>8412.5</v>
      </c>
      <c r="G7" s="7"/>
      <c r="H7" s="126">
        <f t="shared" si="0"/>
        <v>-42819.15</v>
      </c>
      <c r="I7" s="7"/>
      <c r="J7" s="7"/>
      <c r="L7" s="7"/>
      <c r="M7" s="7"/>
      <c r="N7" s="7"/>
      <c r="AB7" s="8"/>
      <c r="AC7" s="8"/>
      <c r="AD7" s="8"/>
      <c r="AE7" s="8"/>
      <c r="AF7" s="8"/>
      <c r="AG7" s="8"/>
      <c r="AH7" s="8"/>
      <c r="AJ7" s="8"/>
      <c r="AK7" s="8"/>
      <c r="AL7" s="8"/>
    </row>
    <row r="8" spans="1:38" x14ac:dyDescent="0.55000000000000004">
      <c r="B8" s="4">
        <v>3917.33</v>
      </c>
      <c r="C8" t="s">
        <v>11</v>
      </c>
      <c r="D8" s="130">
        <v>408.05</v>
      </c>
      <c r="E8" s="7"/>
      <c r="F8" s="128">
        <v>5760.3</v>
      </c>
      <c r="G8" s="7"/>
      <c r="H8" s="126">
        <f t="shared" si="0"/>
        <v>5352.25</v>
      </c>
      <c r="I8" s="7"/>
      <c r="J8" s="7"/>
      <c r="L8" s="7"/>
      <c r="M8" s="7"/>
      <c r="N8" s="7"/>
      <c r="AB8" s="8"/>
      <c r="AC8" s="8"/>
      <c r="AD8" s="8"/>
      <c r="AE8" s="8"/>
      <c r="AF8" s="8"/>
      <c r="AG8" s="8"/>
      <c r="AH8" s="8"/>
      <c r="AJ8" s="8"/>
      <c r="AK8" s="8"/>
      <c r="AL8" s="8"/>
    </row>
    <row r="9" spans="1:38" x14ac:dyDescent="0.55000000000000004">
      <c r="B9" s="4">
        <v>3917.39</v>
      </c>
      <c r="C9" t="s">
        <v>12</v>
      </c>
      <c r="D9" s="130">
        <v>16781.05</v>
      </c>
      <c r="E9" s="7"/>
      <c r="F9" s="128">
        <v>66233.3</v>
      </c>
      <c r="G9" s="7"/>
      <c r="H9" s="126">
        <f t="shared" si="0"/>
        <v>49452.25</v>
      </c>
      <c r="I9" s="7"/>
      <c r="J9" s="7"/>
      <c r="L9" s="7"/>
      <c r="M9" s="7"/>
      <c r="N9" s="7"/>
      <c r="AB9" s="8"/>
      <c r="AC9" s="8"/>
      <c r="AD9" s="8"/>
      <c r="AE9" s="8"/>
      <c r="AF9" s="8"/>
      <c r="AG9" s="8"/>
      <c r="AH9" s="8"/>
      <c r="AJ9" s="8"/>
      <c r="AK9" s="8"/>
      <c r="AL9" s="8"/>
    </row>
    <row r="10" spans="1:38" x14ac:dyDescent="0.55000000000000004">
      <c r="B10" s="4">
        <v>3917.4</v>
      </c>
      <c r="C10" t="s">
        <v>13</v>
      </c>
      <c r="D10" s="130">
        <v>34074.35</v>
      </c>
      <c r="E10" s="7"/>
      <c r="F10" s="128">
        <v>15916.25</v>
      </c>
      <c r="G10" s="7"/>
      <c r="H10" s="126">
        <f t="shared" si="0"/>
        <v>-18158.099999999999</v>
      </c>
      <c r="I10" s="7"/>
      <c r="J10" s="7"/>
      <c r="L10" s="7"/>
      <c r="M10" s="7"/>
      <c r="N10" s="7"/>
      <c r="AB10" s="8"/>
      <c r="AC10" s="8"/>
      <c r="AD10" s="8"/>
      <c r="AE10" s="8"/>
      <c r="AF10" s="8"/>
      <c r="AG10" s="8"/>
      <c r="AH10" s="8"/>
      <c r="AJ10" s="8"/>
      <c r="AK10" s="8"/>
      <c r="AL10" s="8"/>
    </row>
    <row r="11" spans="1:38" x14ac:dyDescent="0.55000000000000004">
      <c r="B11" s="4">
        <v>3919.9</v>
      </c>
      <c r="C11" t="s">
        <v>15</v>
      </c>
      <c r="D11" s="128">
        <v>47250.840000000004</v>
      </c>
      <c r="F11" s="128">
        <v>50193.96</v>
      </c>
      <c r="H11" s="126">
        <f t="shared" si="0"/>
        <v>2943.1199999999953</v>
      </c>
      <c r="AB11" s="8"/>
      <c r="AC11" s="8"/>
      <c r="AD11" s="8"/>
      <c r="AE11" s="8"/>
      <c r="AF11" s="8"/>
      <c r="AG11" s="8"/>
      <c r="AH11" s="8"/>
      <c r="AJ11" s="8"/>
      <c r="AK11" s="8"/>
      <c r="AL11" s="8"/>
    </row>
    <row r="12" spans="1:38" x14ac:dyDescent="0.55000000000000004">
      <c r="B12" s="4">
        <v>3920.1</v>
      </c>
      <c r="C12" t="s">
        <v>14</v>
      </c>
      <c r="D12" s="128">
        <v>49947.8</v>
      </c>
      <c r="F12" s="128">
        <v>13425.44</v>
      </c>
      <c r="H12" s="126">
        <f t="shared" si="0"/>
        <v>-36522.36</v>
      </c>
      <c r="AB12" s="8"/>
      <c r="AC12" s="8"/>
      <c r="AD12" s="8"/>
      <c r="AE12" s="8"/>
      <c r="AF12" s="8"/>
      <c r="AG12" s="8"/>
      <c r="AH12" s="8"/>
      <c r="AJ12" s="8"/>
      <c r="AK12" s="8"/>
      <c r="AL12" s="8"/>
    </row>
    <row r="13" spans="1:38" x14ac:dyDescent="0.55000000000000004">
      <c r="B13" s="4">
        <v>3920.99</v>
      </c>
      <c r="C13" t="s">
        <v>16</v>
      </c>
      <c r="D13" s="128">
        <v>5068.76</v>
      </c>
      <c r="F13" s="128">
        <v>88508</v>
      </c>
      <c r="H13" s="126">
        <f t="shared" si="0"/>
        <v>83439.240000000005</v>
      </c>
      <c r="AB13" s="8"/>
      <c r="AC13" s="8"/>
      <c r="AD13" s="8"/>
      <c r="AE13" s="8"/>
      <c r="AF13" s="8"/>
      <c r="AG13" s="8"/>
      <c r="AH13" s="8"/>
      <c r="AJ13" s="8"/>
      <c r="AK13" s="8"/>
      <c r="AL13" s="8"/>
    </row>
    <row r="14" spans="1:38" x14ac:dyDescent="0.55000000000000004">
      <c r="B14" s="4">
        <v>3921.19</v>
      </c>
      <c r="C14" t="s">
        <v>17</v>
      </c>
      <c r="D14" s="128">
        <v>22847.67</v>
      </c>
      <c r="F14" s="128">
        <v>111912.39</v>
      </c>
      <c r="H14" s="126">
        <f t="shared" si="0"/>
        <v>89064.72</v>
      </c>
      <c r="AB14" s="8"/>
      <c r="AC14" s="8"/>
      <c r="AD14" s="8"/>
      <c r="AE14" s="8"/>
      <c r="AF14" s="8"/>
      <c r="AG14" s="8"/>
      <c r="AH14" s="8"/>
      <c r="AJ14" s="8"/>
      <c r="AK14" s="8"/>
      <c r="AL14" s="8"/>
    </row>
    <row r="15" spans="1:38" x14ac:dyDescent="0.55000000000000004">
      <c r="B15" s="4">
        <v>3921.9</v>
      </c>
      <c r="C15" t="s">
        <v>18</v>
      </c>
      <c r="D15" s="128">
        <v>28483.360000000001</v>
      </c>
      <c r="F15" s="128">
        <v>115434.76000000001</v>
      </c>
      <c r="H15" s="126">
        <f t="shared" si="0"/>
        <v>86951.400000000009</v>
      </c>
      <c r="AB15" s="8"/>
      <c r="AC15" s="8"/>
      <c r="AD15" s="8"/>
      <c r="AE15" s="8"/>
      <c r="AF15" s="8"/>
      <c r="AG15" s="8"/>
      <c r="AH15" s="8"/>
      <c r="AJ15" s="8"/>
      <c r="AK15" s="8"/>
      <c r="AL15" s="8"/>
    </row>
    <row r="16" spans="1:38" x14ac:dyDescent="0.55000000000000004">
      <c r="B16" s="292" t="s">
        <v>155</v>
      </c>
      <c r="C16" s="292"/>
      <c r="D16" s="127">
        <f>SUM(D4:D15)</f>
        <v>265660.31</v>
      </c>
      <c r="E16" s="12"/>
      <c r="F16" s="127">
        <f t="shared" ref="F16" si="1">SUM(F4:F15)</f>
        <v>525318.63</v>
      </c>
      <c r="G16" s="12"/>
      <c r="H16" s="127">
        <f t="shared" ref="H16" si="2">SUM(H4:H15)</f>
        <v>259658.32</v>
      </c>
      <c r="I16" s="12"/>
      <c r="J16" s="12"/>
      <c r="L16" s="12"/>
      <c r="M16" s="12"/>
      <c r="N16" s="12"/>
      <c r="P16" s="12"/>
      <c r="Q16" s="12"/>
      <c r="R16" s="12"/>
      <c r="S16" s="12"/>
      <c r="T16" s="12"/>
      <c r="U16" s="12"/>
      <c r="V16" s="12"/>
      <c r="X16" s="12"/>
      <c r="Y16" s="12"/>
      <c r="Z16" s="12"/>
      <c r="AB16" s="12"/>
      <c r="AC16" s="12"/>
      <c r="AD16" s="12"/>
      <c r="AE16" s="12"/>
      <c r="AF16" s="12"/>
      <c r="AG16" s="12"/>
      <c r="AH16" s="12"/>
      <c r="AJ16" s="12"/>
      <c r="AK16" s="12"/>
      <c r="AL16" s="12"/>
    </row>
    <row r="17" spans="1:38" x14ac:dyDescent="0.55000000000000004">
      <c r="D17" s="11">
        <f>D16/10^6</f>
        <v>0.26566031000000001</v>
      </c>
      <c r="F17" s="11">
        <f>F16/10^6</f>
        <v>0.52531863000000001</v>
      </c>
      <c r="AB17" s="8"/>
      <c r="AC17" s="8"/>
      <c r="AD17" s="8"/>
      <c r="AE17" s="8"/>
      <c r="AF17" s="8"/>
      <c r="AG17" s="8"/>
      <c r="AH17" s="8"/>
      <c r="AJ17" s="8"/>
      <c r="AK17" s="8"/>
      <c r="AL17" s="8"/>
    </row>
    <row r="18" spans="1:38" x14ac:dyDescent="0.55000000000000004">
      <c r="B18" s="5"/>
    </row>
    <row r="20" spans="1:38" x14ac:dyDescent="0.55000000000000004">
      <c r="B20" s="6"/>
      <c r="J20" s="7"/>
      <c r="L20" s="7"/>
      <c r="M20" s="7"/>
      <c r="N20" s="7"/>
      <c r="P20" s="7"/>
      <c r="Q20" s="7"/>
      <c r="R20" s="7"/>
      <c r="S20" s="7"/>
      <c r="T20" s="7"/>
      <c r="U20" s="7"/>
      <c r="V20" s="7"/>
      <c r="X20" s="7"/>
      <c r="Y20" s="7"/>
      <c r="Z20" s="7"/>
      <c r="AB20" s="8"/>
      <c r="AC20" s="8"/>
      <c r="AD20" s="8"/>
      <c r="AE20" s="8"/>
      <c r="AF20" s="8"/>
      <c r="AG20" s="8"/>
      <c r="AH20" s="8"/>
      <c r="AJ20" s="8"/>
      <c r="AK20" s="8"/>
      <c r="AL20" s="8"/>
    </row>
    <row r="22" spans="1:38" x14ac:dyDescent="0.55000000000000004">
      <c r="A22" t="s">
        <v>1</v>
      </c>
      <c r="B22" s="6">
        <v>3916.1</v>
      </c>
      <c r="C22" t="s">
        <v>5</v>
      </c>
      <c r="D22" s="130">
        <v>4720</v>
      </c>
      <c r="E22" s="7"/>
      <c r="F22" s="128">
        <v>5191</v>
      </c>
      <c r="G22" s="7"/>
      <c r="H22" s="126">
        <f t="shared" ref="H22:H31" si="3">F22-D22</f>
        <v>471</v>
      </c>
      <c r="I22" s="7"/>
      <c r="J22" s="7"/>
      <c r="L22" s="7"/>
      <c r="M22" s="7"/>
      <c r="N22" s="7"/>
      <c r="AB22" s="8"/>
      <c r="AC22" s="8"/>
      <c r="AD22" s="8"/>
      <c r="AE22" s="8"/>
      <c r="AF22" s="8"/>
      <c r="AG22" s="8"/>
      <c r="AH22" s="8"/>
      <c r="AJ22" s="8"/>
      <c r="AK22" s="8"/>
      <c r="AL22" s="8"/>
    </row>
    <row r="23" spans="1:38" x14ac:dyDescent="0.55000000000000004">
      <c r="B23" s="4">
        <v>3917.21</v>
      </c>
      <c r="C23" s="2" t="s">
        <v>6</v>
      </c>
      <c r="D23" s="130">
        <v>17729.97</v>
      </c>
      <c r="E23" s="7"/>
      <c r="F23" s="128">
        <v>67176.070000000007</v>
      </c>
      <c r="G23" s="7"/>
      <c r="H23" s="126">
        <f t="shared" si="3"/>
        <v>49446.100000000006</v>
      </c>
      <c r="I23" s="7"/>
      <c r="J23" s="7"/>
      <c r="L23" s="7"/>
      <c r="M23" s="7"/>
      <c r="N23" s="7"/>
      <c r="AB23" s="8"/>
      <c r="AC23" s="8"/>
      <c r="AD23" s="8"/>
      <c r="AE23" s="8"/>
      <c r="AF23" s="8"/>
      <c r="AG23" s="8"/>
      <c r="AH23" s="8"/>
      <c r="AJ23" s="8"/>
      <c r="AK23" s="8"/>
      <c r="AL23" s="8"/>
    </row>
    <row r="24" spans="1:38" x14ac:dyDescent="0.55000000000000004">
      <c r="B24" s="4">
        <v>3917.29</v>
      </c>
      <c r="C24" s="2" t="s">
        <v>8</v>
      </c>
      <c r="D24" s="130">
        <v>8179.2</v>
      </c>
      <c r="E24" s="7"/>
      <c r="F24" s="128">
        <v>75092.039999999994</v>
      </c>
      <c r="G24" s="7"/>
      <c r="H24" s="126">
        <f t="shared" si="3"/>
        <v>66912.84</v>
      </c>
      <c r="I24" s="7"/>
      <c r="J24" s="7"/>
      <c r="L24" s="7"/>
      <c r="M24" s="7"/>
      <c r="N24" s="7"/>
      <c r="AB24" s="8"/>
      <c r="AC24" s="8"/>
      <c r="AD24" s="8"/>
      <c r="AE24" s="8"/>
      <c r="AF24" s="8"/>
      <c r="AG24" s="8"/>
      <c r="AH24" s="8"/>
      <c r="AJ24" s="8"/>
      <c r="AK24" s="8"/>
      <c r="AL24" s="8"/>
    </row>
    <row r="25" spans="1:38" x14ac:dyDescent="0.55000000000000004">
      <c r="B25" s="4">
        <v>3917.31</v>
      </c>
      <c r="C25" t="s">
        <v>9</v>
      </c>
      <c r="D25" s="130">
        <v>9294.2999999999993</v>
      </c>
      <c r="E25" s="7"/>
      <c r="F25" s="128">
        <v>38901.24</v>
      </c>
      <c r="G25" s="7"/>
      <c r="H25" s="126">
        <f t="shared" si="3"/>
        <v>29606.94</v>
      </c>
      <c r="I25" s="7"/>
      <c r="J25" s="7"/>
      <c r="L25" s="7"/>
      <c r="M25" s="7"/>
      <c r="N25" s="7"/>
      <c r="AB25" s="8"/>
      <c r="AC25" s="8"/>
      <c r="AD25" s="8"/>
      <c r="AE25" s="8"/>
      <c r="AF25" s="8"/>
      <c r="AG25" s="8"/>
      <c r="AH25" s="8"/>
      <c r="AJ25" s="8"/>
      <c r="AK25" s="8"/>
      <c r="AL25" s="8"/>
    </row>
    <row r="26" spans="1:38" x14ac:dyDescent="0.55000000000000004">
      <c r="B26" s="4">
        <v>3917.32</v>
      </c>
      <c r="C26" t="s">
        <v>10</v>
      </c>
      <c r="D26" s="130">
        <v>184433.94</v>
      </c>
      <c r="E26" s="7"/>
      <c r="F26" s="128">
        <v>30285</v>
      </c>
      <c r="G26" s="7"/>
      <c r="H26" s="126">
        <f t="shared" si="3"/>
        <v>-154148.94</v>
      </c>
      <c r="I26" s="7"/>
      <c r="J26" s="7"/>
      <c r="L26" s="7"/>
      <c r="M26" s="7"/>
      <c r="N26" s="7"/>
      <c r="AB26" s="8"/>
      <c r="AC26" s="8"/>
      <c r="AD26" s="8"/>
      <c r="AE26" s="8"/>
      <c r="AF26" s="8"/>
      <c r="AG26" s="8"/>
      <c r="AH26" s="8"/>
      <c r="AJ26" s="8"/>
      <c r="AK26" s="8"/>
      <c r="AL26" s="8"/>
    </row>
    <row r="27" spans="1:38" x14ac:dyDescent="0.55000000000000004">
      <c r="B27" s="4">
        <v>3917.33</v>
      </c>
      <c r="C27" t="s">
        <v>11</v>
      </c>
      <c r="D27" s="130">
        <v>1468.98</v>
      </c>
      <c r="E27" s="7"/>
      <c r="F27" s="128">
        <v>20737.079999999998</v>
      </c>
      <c r="G27" s="7"/>
      <c r="H27" s="126">
        <f t="shared" si="3"/>
        <v>19268.099999999999</v>
      </c>
      <c r="I27" s="7"/>
      <c r="J27" s="7"/>
      <c r="L27" s="7"/>
      <c r="M27" s="7"/>
      <c r="N27" s="7"/>
      <c r="AB27" s="8"/>
      <c r="AC27" s="8"/>
      <c r="AD27" s="8"/>
      <c r="AE27" s="8"/>
      <c r="AF27" s="8"/>
      <c r="AG27" s="8"/>
      <c r="AH27" s="8"/>
      <c r="AJ27" s="8"/>
      <c r="AK27" s="8"/>
      <c r="AL27" s="8"/>
    </row>
    <row r="28" spans="1:38" x14ac:dyDescent="0.55000000000000004">
      <c r="B28" s="4">
        <v>3917.39</v>
      </c>
      <c r="C28" t="s">
        <v>12</v>
      </c>
      <c r="D28" s="130">
        <v>60411.78</v>
      </c>
      <c r="E28" s="7"/>
      <c r="F28" s="128">
        <v>238439.88</v>
      </c>
      <c r="G28" s="7"/>
      <c r="H28" s="126">
        <f t="shared" si="3"/>
        <v>178028.1</v>
      </c>
      <c r="I28" s="7"/>
      <c r="J28" s="7"/>
      <c r="L28" s="7"/>
      <c r="M28" s="7"/>
      <c r="N28" s="7"/>
      <c r="AB28" s="8"/>
      <c r="AC28" s="8"/>
      <c r="AD28" s="8"/>
      <c r="AE28" s="8"/>
      <c r="AF28" s="8"/>
      <c r="AG28" s="8"/>
      <c r="AH28" s="8"/>
      <c r="AJ28" s="8"/>
      <c r="AK28" s="8"/>
      <c r="AL28" s="8"/>
    </row>
    <row r="29" spans="1:38" x14ac:dyDescent="0.55000000000000004">
      <c r="B29" s="4">
        <v>3917.4</v>
      </c>
      <c r="C29" t="s">
        <v>13</v>
      </c>
      <c r="D29" s="130">
        <v>122667.65999999999</v>
      </c>
      <c r="E29" s="7"/>
      <c r="F29" s="128">
        <v>57298.5</v>
      </c>
      <c r="G29" s="7"/>
      <c r="H29" s="126">
        <f t="shared" si="3"/>
        <v>-65369.159999999989</v>
      </c>
      <c r="I29" s="7"/>
      <c r="J29" s="7"/>
      <c r="L29" s="7"/>
      <c r="M29" s="7"/>
      <c r="N29" s="7"/>
      <c r="AB29" s="8"/>
      <c r="AC29" s="8"/>
      <c r="AD29" s="8"/>
      <c r="AE29" s="8"/>
      <c r="AF29" s="8"/>
      <c r="AG29" s="8"/>
      <c r="AH29" s="8"/>
      <c r="AJ29" s="8"/>
      <c r="AK29" s="8"/>
      <c r="AL29" s="8"/>
    </row>
    <row r="30" spans="1:38" x14ac:dyDescent="0.55000000000000004">
      <c r="B30" s="4">
        <v>3920.1</v>
      </c>
      <c r="C30" t="s">
        <v>14</v>
      </c>
      <c r="D30" s="128">
        <v>149843.4</v>
      </c>
      <c r="F30" s="128">
        <v>40276.32</v>
      </c>
      <c r="H30" s="126">
        <f t="shared" si="3"/>
        <v>-109567.07999999999</v>
      </c>
      <c r="AB30" s="8"/>
      <c r="AC30" s="8"/>
      <c r="AD30" s="8"/>
      <c r="AE30" s="8"/>
      <c r="AF30" s="8"/>
      <c r="AG30" s="8"/>
      <c r="AH30" s="8"/>
      <c r="AJ30" s="8"/>
      <c r="AK30" s="8"/>
      <c r="AL30" s="8"/>
    </row>
    <row r="31" spans="1:38" x14ac:dyDescent="0.55000000000000004">
      <c r="B31" s="4">
        <v>3921.19</v>
      </c>
      <c r="C31" t="s">
        <v>17</v>
      </c>
      <c r="D31" s="128">
        <v>2538.63</v>
      </c>
      <c r="F31" s="128">
        <v>12434.710000000001</v>
      </c>
      <c r="H31" s="126">
        <f t="shared" si="3"/>
        <v>9896.0800000000017</v>
      </c>
      <c r="AB31" s="8"/>
      <c r="AC31" s="8"/>
      <c r="AD31" s="8"/>
      <c r="AE31" s="8"/>
      <c r="AF31" s="8"/>
      <c r="AG31" s="8"/>
      <c r="AH31" s="8"/>
      <c r="AJ31" s="8"/>
      <c r="AK31" s="8"/>
      <c r="AL31" s="8"/>
    </row>
    <row r="32" spans="1:38" x14ac:dyDescent="0.55000000000000004">
      <c r="B32" s="292" t="s">
        <v>155</v>
      </c>
      <c r="C32" s="292"/>
      <c r="D32" s="127">
        <f>SUM(D22:D31)</f>
        <v>561287.86</v>
      </c>
      <c r="E32" s="12"/>
      <c r="F32" s="127">
        <f t="shared" ref="F32" si="4">SUM(F22:F31)</f>
        <v>585831.83999999985</v>
      </c>
      <c r="G32" s="12"/>
      <c r="H32" s="127">
        <f t="shared" ref="H32" si="5">SUM(H22:H31)</f>
        <v>24543.98000000004</v>
      </c>
      <c r="I32" s="12"/>
      <c r="J32" s="12"/>
      <c r="L32" s="12"/>
      <c r="M32" s="12"/>
      <c r="N32" s="12"/>
      <c r="P32" s="12"/>
      <c r="Q32" s="12"/>
      <c r="R32" s="12"/>
      <c r="S32" s="12"/>
      <c r="T32" s="12"/>
      <c r="U32" s="12"/>
      <c r="V32" s="12"/>
      <c r="X32" s="12"/>
      <c r="Y32" s="12"/>
      <c r="Z32" s="12"/>
      <c r="AB32" s="12"/>
      <c r="AC32" s="12"/>
      <c r="AD32" s="12"/>
      <c r="AE32" s="12"/>
      <c r="AF32" s="12"/>
      <c r="AG32" s="12"/>
      <c r="AH32" s="12"/>
      <c r="AJ32" s="12"/>
      <c r="AK32" s="12"/>
      <c r="AL32" s="12"/>
    </row>
    <row r="33" spans="1:38" x14ac:dyDescent="0.55000000000000004">
      <c r="D33" s="11">
        <f>D32/10^6</f>
        <v>0.56128785999999997</v>
      </c>
      <c r="F33" s="11">
        <f>F32/10^6</f>
        <v>0.58583183999999988</v>
      </c>
      <c r="H33" s="11"/>
    </row>
    <row r="34" spans="1:38" x14ac:dyDescent="0.55000000000000004">
      <c r="B34" s="4"/>
    </row>
    <row r="35" spans="1:38" x14ac:dyDescent="0.55000000000000004">
      <c r="B35" s="4"/>
    </row>
    <row r="38" spans="1:38" x14ac:dyDescent="0.55000000000000004">
      <c r="B38" s="6"/>
      <c r="I38" s="7"/>
      <c r="J38" s="7"/>
      <c r="L38" s="7"/>
      <c r="M38" s="7"/>
      <c r="N38" s="7"/>
      <c r="P38" s="7"/>
      <c r="Q38" s="7"/>
      <c r="R38" s="7"/>
      <c r="S38" s="7"/>
      <c r="T38" s="7"/>
      <c r="U38" s="7"/>
      <c r="V38" s="7"/>
      <c r="X38" s="7"/>
      <c r="Y38" s="7"/>
      <c r="Z38" s="7"/>
      <c r="AB38" s="8"/>
      <c r="AC38" s="8"/>
      <c r="AD38" s="8"/>
      <c r="AE38" s="8"/>
      <c r="AF38" s="8"/>
      <c r="AG38" s="8"/>
      <c r="AH38" s="8"/>
      <c r="AJ38" s="8"/>
      <c r="AK38" s="8"/>
      <c r="AL38" s="8"/>
    </row>
    <row r="40" spans="1:38" x14ac:dyDescent="0.55000000000000004">
      <c r="A40" t="s">
        <v>2</v>
      </c>
      <c r="B40" s="4">
        <v>3917.21</v>
      </c>
      <c r="C40" s="2" t="s">
        <v>7</v>
      </c>
      <c r="D40" s="130">
        <v>11384</v>
      </c>
      <c r="E40" s="7"/>
      <c r="F40" s="128">
        <v>18245</v>
      </c>
      <c r="G40" s="7"/>
      <c r="H40" s="126">
        <f t="shared" ref="H40:H51" si="6">F40-D40</f>
        <v>6861</v>
      </c>
      <c r="I40" s="7"/>
      <c r="J40" s="7"/>
      <c r="L40" s="7"/>
      <c r="M40" s="7"/>
      <c r="AB40" s="8"/>
      <c r="AC40" s="8"/>
      <c r="AD40" s="8"/>
      <c r="AE40" s="8"/>
      <c r="AF40" s="8"/>
      <c r="AG40" s="8"/>
      <c r="AH40" s="8"/>
      <c r="AJ40" s="8"/>
      <c r="AK40" s="8"/>
      <c r="AL40" s="8"/>
    </row>
    <row r="41" spans="1:38" x14ac:dyDescent="0.55000000000000004">
      <c r="B41" s="4">
        <v>3917.29</v>
      </c>
      <c r="C41" s="2" t="s">
        <v>8</v>
      </c>
      <c r="D41" s="130">
        <v>2726.4</v>
      </c>
      <c r="E41" s="7"/>
      <c r="F41" s="128">
        <v>25030.68</v>
      </c>
      <c r="G41" s="7"/>
      <c r="H41" s="126">
        <f t="shared" si="6"/>
        <v>22304.28</v>
      </c>
      <c r="I41" s="7"/>
      <c r="J41" s="7"/>
      <c r="L41" s="7"/>
      <c r="M41" s="7"/>
      <c r="N41" s="7"/>
      <c r="AB41" s="8"/>
      <c r="AC41" s="8"/>
      <c r="AD41" s="8"/>
      <c r="AE41" s="8"/>
      <c r="AF41" s="8"/>
      <c r="AG41" s="8"/>
      <c r="AH41" s="8"/>
      <c r="AJ41" s="8"/>
      <c r="AK41" s="8"/>
      <c r="AL41" s="8"/>
    </row>
    <row r="42" spans="1:38" x14ac:dyDescent="0.55000000000000004">
      <c r="B42" s="4">
        <v>3917.31</v>
      </c>
      <c r="C42" t="s">
        <v>9</v>
      </c>
      <c r="D42" s="130">
        <v>3098.1</v>
      </c>
      <c r="E42" s="7"/>
      <c r="F42" s="128">
        <v>12967.08</v>
      </c>
      <c r="G42" s="7"/>
      <c r="H42" s="126">
        <f t="shared" si="6"/>
        <v>9868.98</v>
      </c>
      <c r="I42" s="7"/>
      <c r="J42" s="7"/>
      <c r="L42" s="7"/>
      <c r="M42" s="7"/>
      <c r="N42" s="7"/>
      <c r="AB42" s="8"/>
      <c r="AC42" s="8"/>
      <c r="AD42" s="8"/>
      <c r="AE42" s="8"/>
      <c r="AF42" s="8"/>
      <c r="AG42" s="8"/>
      <c r="AH42" s="8"/>
      <c r="AJ42" s="8"/>
      <c r="AK42" s="8"/>
      <c r="AL42" s="8"/>
    </row>
    <row r="43" spans="1:38" x14ac:dyDescent="0.55000000000000004">
      <c r="B43" s="4">
        <v>3917.32</v>
      </c>
      <c r="C43" t="s">
        <v>10</v>
      </c>
      <c r="D43" s="130">
        <v>61477.979999999996</v>
      </c>
      <c r="E43" s="7"/>
      <c r="F43" s="128">
        <v>10095</v>
      </c>
      <c r="G43" s="7"/>
      <c r="H43" s="126">
        <f t="shared" si="6"/>
        <v>-51382.979999999996</v>
      </c>
      <c r="I43" s="7"/>
      <c r="J43" s="7"/>
      <c r="L43" s="7"/>
      <c r="M43" s="7"/>
      <c r="N43" s="7"/>
      <c r="AB43" s="8"/>
      <c r="AC43" s="8"/>
      <c r="AD43" s="8"/>
      <c r="AE43" s="8"/>
      <c r="AF43" s="8"/>
      <c r="AG43" s="8"/>
      <c r="AH43" s="8"/>
      <c r="AJ43" s="8"/>
      <c r="AK43" s="8"/>
      <c r="AL43" s="8"/>
    </row>
    <row r="44" spans="1:38" x14ac:dyDescent="0.55000000000000004">
      <c r="B44" s="4">
        <v>3917.33</v>
      </c>
      <c r="C44" t="s">
        <v>11</v>
      </c>
      <c r="D44" s="130">
        <v>489.65999999999997</v>
      </c>
      <c r="E44" s="7"/>
      <c r="F44" s="128">
        <v>6912.36</v>
      </c>
      <c r="G44" s="7"/>
      <c r="H44" s="126">
        <f t="shared" si="6"/>
        <v>6422.7</v>
      </c>
      <c r="I44" s="7"/>
      <c r="J44" s="7"/>
      <c r="L44" s="7"/>
      <c r="M44" s="7"/>
      <c r="N44" s="7"/>
      <c r="AB44" s="8"/>
      <c r="AC44" s="8"/>
      <c r="AD44" s="8"/>
      <c r="AE44" s="8"/>
      <c r="AF44" s="8"/>
      <c r="AG44" s="8"/>
      <c r="AH44" s="8"/>
      <c r="AJ44" s="8"/>
      <c r="AK44" s="8"/>
      <c r="AL44" s="8"/>
    </row>
    <row r="45" spans="1:38" x14ac:dyDescent="0.55000000000000004">
      <c r="B45" s="4">
        <v>3917.39</v>
      </c>
      <c r="C45" t="s">
        <v>12</v>
      </c>
      <c r="D45" s="130">
        <v>20137.259999999998</v>
      </c>
      <c r="E45" s="7"/>
      <c r="F45" s="128">
        <v>79479.959999999992</v>
      </c>
      <c r="G45" s="7"/>
      <c r="H45" s="126">
        <f t="shared" si="6"/>
        <v>59342.7</v>
      </c>
      <c r="I45" s="7"/>
      <c r="J45" s="7"/>
      <c r="L45" s="7"/>
      <c r="M45" s="7"/>
      <c r="N45" s="7"/>
      <c r="AB45" s="8"/>
      <c r="AC45" s="8"/>
      <c r="AD45" s="8"/>
      <c r="AE45" s="8"/>
      <c r="AF45" s="8"/>
      <c r="AG45" s="8"/>
      <c r="AH45" s="8"/>
      <c r="AJ45" s="8"/>
      <c r="AK45" s="8"/>
      <c r="AL45" s="8"/>
    </row>
    <row r="46" spans="1:38" x14ac:dyDescent="0.55000000000000004">
      <c r="B46" s="4">
        <v>3917.4</v>
      </c>
      <c r="C46" t="s">
        <v>13</v>
      </c>
      <c r="D46" s="130">
        <v>40889.22</v>
      </c>
      <c r="E46" s="7"/>
      <c r="F46" s="128">
        <v>19099.5</v>
      </c>
      <c r="G46" s="7"/>
      <c r="H46" s="126">
        <f t="shared" si="6"/>
        <v>-21789.72</v>
      </c>
      <c r="I46" s="7"/>
      <c r="J46" s="7"/>
      <c r="L46" s="7"/>
      <c r="M46" s="7"/>
      <c r="N46" s="7"/>
      <c r="AB46" s="8"/>
      <c r="AC46" s="8"/>
      <c r="AD46" s="8"/>
      <c r="AE46" s="8"/>
      <c r="AF46" s="8"/>
      <c r="AG46" s="8"/>
      <c r="AH46" s="8"/>
      <c r="AJ46" s="8"/>
      <c r="AK46" s="8"/>
      <c r="AL46" s="8"/>
    </row>
    <row r="47" spans="1:38" x14ac:dyDescent="0.55000000000000004">
      <c r="B47" s="4">
        <v>3919.9</v>
      </c>
      <c r="C47" t="s">
        <v>15</v>
      </c>
      <c r="D47" s="128">
        <v>283505.03999999998</v>
      </c>
      <c r="F47" s="128">
        <v>301163.76</v>
      </c>
      <c r="H47" s="126">
        <f t="shared" si="6"/>
        <v>17658.72000000003</v>
      </c>
      <c r="AB47" s="8"/>
      <c r="AC47" s="8"/>
      <c r="AD47" s="8"/>
      <c r="AE47" s="8"/>
      <c r="AF47" s="8"/>
      <c r="AG47" s="8"/>
      <c r="AH47" s="8"/>
      <c r="AJ47" s="8"/>
      <c r="AK47" s="8"/>
      <c r="AL47" s="8"/>
    </row>
    <row r="48" spans="1:38" x14ac:dyDescent="0.55000000000000004">
      <c r="B48" s="4">
        <v>3920.2</v>
      </c>
      <c r="C48" t="s">
        <v>19</v>
      </c>
      <c r="D48" s="128">
        <v>155613</v>
      </c>
      <c r="F48" s="128">
        <v>1929636</v>
      </c>
      <c r="H48" s="126">
        <f t="shared" si="6"/>
        <v>1774023</v>
      </c>
      <c r="AB48" s="8"/>
      <c r="AC48" s="8"/>
      <c r="AD48" s="8"/>
      <c r="AE48" s="8"/>
      <c r="AF48" s="8"/>
      <c r="AG48" s="8"/>
      <c r="AH48" s="8"/>
      <c r="AJ48" s="8"/>
      <c r="AK48" s="8"/>
      <c r="AL48" s="8"/>
    </row>
    <row r="49" spans="2:38" x14ac:dyDescent="0.55000000000000004">
      <c r="B49" s="4">
        <v>3920.99</v>
      </c>
      <c r="C49" t="s">
        <v>16</v>
      </c>
      <c r="D49" s="128">
        <v>30412.559999999998</v>
      </c>
      <c r="F49" s="128">
        <v>531048</v>
      </c>
      <c r="H49" s="126">
        <f t="shared" si="6"/>
        <v>500635.44</v>
      </c>
      <c r="AB49" s="8"/>
      <c r="AC49" s="8"/>
      <c r="AD49" s="8"/>
      <c r="AE49" s="8"/>
      <c r="AF49" s="8"/>
      <c r="AG49" s="8"/>
      <c r="AH49" s="8"/>
      <c r="AJ49" s="8"/>
      <c r="AK49" s="8"/>
      <c r="AL49" s="8"/>
    </row>
    <row r="50" spans="2:38" x14ac:dyDescent="0.55000000000000004">
      <c r="B50" s="4">
        <v>3921.19</v>
      </c>
      <c r="C50" t="s">
        <v>17</v>
      </c>
      <c r="D50" s="128">
        <v>152317.79999999999</v>
      </c>
      <c r="F50" s="128">
        <v>746082.6</v>
      </c>
      <c r="H50" s="126">
        <f t="shared" si="6"/>
        <v>593764.80000000005</v>
      </c>
      <c r="AB50" s="8"/>
      <c r="AC50" s="8"/>
      <c r="AD50" s="8"/>
      <c r="AE50" s="8"/>
      <c r="AF50" s="8"/>
      <c r="AG50" s="8"/>
      <c r="AH50" s="8"/>
      <c r="AJ50" s="8"/>
      <c r="AK50" s="8"/>
      <c r="AL50" s="8"/>
    </row>
    <row r="51" spans="2:38" x14ac:dyDescent="0.55000000000000004">
      <c r="B51" s="4">
        <v>3921.9</v>
      </c>
      <c r="C51" t="s">
        <v>20</v>
      </c>
      <c r="D51" s="128">
        <v>170900.16</v>
      </c>
      <c r="F51" s="128">
        <v>692608.55999999994</v>
      </c>
      <c r="H51" s="126">
        <f t="shared" si="6"/>
        <v>521708.39999999991</v>
      </c>
      <c r="AB51" s="8"/>
      <c r="AC51" s="8"/>
      <c r="AD51" s="8"/>
      <c r="AE51" s="8"/>
      <c r="AF51" s="8"/>
      <c r="AG51" s="8"/>
      <c r="AH51" s="8"/>
      <c r="AJ51" s="8"/>
      <c r="AK51" s="8"/>
      <c r="AL51" s="8"/>
    </row>
    <row r="52" spans="2:38" x14ac:dyDescent="0.55000000000000004">
      <c r="B52" s="292" t="s">
        <v>155</v>
      </c>
      <c r="C52" s="292"/>
      <c r="D52" s="127">
        <f>SUM(D40:D51)</f>
        <v>932951.18</v>
      </c>
      <c r="E52" s="12"/>
      <c r="F52" s="127">
        <f t="shared" ref="F52" si="7">SUM(F40:F51)</f>
        <v>4372368.5</v>
      </c>
      <c r="G52" s="12"/>
      <c r="H52" s="127">
        <f t="shared" ref="H52" si="8">SUM(H40:H51)</f>
        <v>3439417.32</v>
      </c>
      <c r="I52" s="12"/>
      <c r="J52" s="12"/>
      <c r="L52" s="12"/>
      <c r="M52" s="12"/>
      <c r="N52" s="12"/>
      <c r="P52" s="12"/>
      <c r="Q52" s="12"/>
      <c r="R52" s="12"/>
      <c r="S52" s="12"/>
      <c r="T52" s="12"/>
      <c r="U52" s="12"/>
      <c r="V52" s="12"/>
      <c r="X52" s="12"/>
      <c r="Y52" s="12"/>
      <c r="Z52" s="12"/>
      <c r="AB52" s="12"/>
      <c r="AC52" s="12"/>
      <c r="AD52" s="12"/>
      <c r="AE52" s="12"/>
      <c r="AF52" s="12"/>
      <c r="AG52" s="12"/>
      <c r="AH52" s="12"/>
      <c r="AJ52" s="12"/>
      <c r="AK52" s="12"/>
      <c r="AL52" s="12"/>
    </row>
    <row r="53" spans="2:38" x14ac:dyDescent="0.55000000000000004">
      <c r="B53" s="124"/>
      <c r="C53" s="124"/>
      <c r="E53" s="12"/>
      <c r="G53" s="12"/>
      <c r="H53" s="8"/>
      <c r="I53" s="12"/>
      <c r="J53" s="12"/>
      <c r="L53" s="12"/>
      <c r="M53" s="12"/>
      <c r="N53" s="12"/>
      <c r="P53" s="12"/>
      <c r="Q53" s="12"/>
      <c r="R53" s="12"/>
      <c r="S53" s="12"/>
      <c r="T53" s="12"/>
      <c r="U53" s="12"/>
      <c r="V53" s="12"/>
      <c r="X53" s="12"/>
      <c r="Y53" s="12"/>
      <c r="Z53" s="12"/>
      <c r="AB53" s="12"/>
      <c r="AC53" s="12"/>
      <c r="AD53" s="12"/>
      <c r="AE53" s="12"/>
      <c r="AF53" s="12"/>
      <c r="AG53" s="12"/>
      <c r="AH53" s="12"/>
      <c r="AJ53" s="12"/>
      <c r="AK53" s="12"/>
      <c r="AL53" s="12"/>
    </row>
    <row r="54" spans="2:38" x14ac:dyDescent="0.55000000000000004">
      <c r="B54" s="4">
        <v>5402.34</v>
      </c>
      <c r="C54" t="s">
        <v>148</v>
      </c>
      <c r="D54" s="126">
        <v>0</v>
      </c>
      <c r="E54" s="8"/>
      <c r="F54" s="126">
        <v>1532</v>
      </c>
      <c r="G54" s="8"/>
      <c r="H54" s="126">
        <f>F54-D54</f>
        <v>1532</v>
      </c>
      <c r="I54" s="8"/>
      <c r="J54" s="8"/>
      <c r="L54" s="8"/>
      <c r="M54" s="8"/>
      <c r="N54" s="8"/>
      <c r="P54" s="8"/>
      <c r="Q54" s="12"/>
      <c r="R54" s="12"/>
      <c r="S54" s="12"/>
      <c r="T54" s="8"/>
      <c r="U54" s="8"/>
      <c r="V54" s="8"/>
      <c r="X54" s="8"/>
      <c r="Y54" s="8"/>
      <c r="Z54" s="8"/>
      <c r="AB54" s="8"/>
      <c r="AC54" s="8"/>
      <c r="AD54" s="8"/>
      <c r="AE54" s="8"/>
      <c r="AF54" s="8"/>
      <c r="AG54" s="8"/>
      <c r="AH54" s="8"/>
      <c r="AJ54" s="8"/>
      <c r="AK54" s="8"/>
      <c r="AL54" s="8"/>
    </row>
    <row r="55" spans="2:38" x14ac:dyDescent="0.55000000000000004">
      <c r="B55" s="4">
        <v>5402.48</v>
      </c>
      <c r="C55" t="s">
        <v>149</v>
      </c>
      <c r="D55" s="126">
        <v>0</v>
      </c>
      <c r="E55" s="8"/>
      <c r="F55" s="127">
        <v>0</v>
      </c>
      <c r="G55" s="8"/>
      <c r="H55" s="126">
        <f>F55-D55</f>
        <v>0</v>
      </c>
      <c r="I55" s="8"/>
      <c r="J55" s="8"/>
      <c r="L55" s="8"/>
      <c r="M55" s="8"/>
      <c r="N55" s="8"/>
      <c r="P55" s="12"/>
      <c r="Q55" s="12"/>
      <c r="R55" s="12"/>
      <c r="S55" s="12"/>
      <c r="T55" s="12"/>
      <c r="U55" s="8"/>
      <c r="V55" s="12"/>
      <c r="X55" s="12"/>
      <c r="Y55" s="12"/>
      <c r="Z55" s="12"/>
      <c r="AB55" s="8"/>
      <c r="AC55" s="8"/>
      <c r="AD55" s="8"/>
      <c r="AE55" s="8"/>
      <c r="AF55" s="8"/>
      <c r="AG55" s="8"/>
      <c r="AH55" s="8"/>
      <c r="AJ55" s="8"/>
      <c r="AK55" s="8"/>
      <c r="AL55" s="8"/>
    </row>
    <row r="56" spans="2:38" x14ac:dyDescent="0.55000000000000004">
      <c r="B56" s="4">
        <v>5402.53</v>
      </c>
      <c r="C56" t="s">
        <v>150</v>
      </c>
      <c r="D56" s="126">
        <v>0</v>
      </c>
      <c r="E56" s="8"/>
      <c r="F56" s="126">
        <v>3774</v>
      </c>
      <c r="G56" s="8"/>
      <c r="H56" s="126">
        <f>F56-D56</f>
        <v>3774</v>
      </c>
      <c r="I56" s="8"/>
      <c r="J56" s="8"/>
      <c r="L56" s="8"/>
      <c r="M56" s="8"/>
      <c r="N56" s="8"/>
      <c r="P56" s="12"/>
      <c r="Q56" s="12"/>
      <c r="R56" s="12"/>
      <c r="S56" s="12"/>
      <c r="T56" s="12"/>
      <c r="U56" s="12"/>
      <c r="V56" s="12"/>
      <c r="X56" s="8"/>
      <c r="Y56" s="8"/>
      <c r="Z56" s="8"/>
      <c r="AB56" s="8"/>
      <c r="AC56" s="8"/>
      <c r="AD56" s="8"/>
      <c r="AE56" s="8"/>
      <c r="AF56" s="8"/>
      <c r="AG56" s="8"/>
      <c r="AH56" s="8"/>
      <c r="AJ56" s="8"/>
      <c r="AK56" s="8"/>
      <c r="AL56" s="8"/>
    </row>
    <row r="57" spans="2:38" x14ac:dyDescent="0.55000000000000004">
      <c r="B57" s="4">
        <v>5402.63</v>
      </c>
      <c r="C57" t="s">
        <v>151</v>
      </c>
      <c r="D57" s="126">
        <v>0</v>
      </c>
      <c r="E57" s="8"/>
      <c r="F57" s="134">
        <v>0</v>
      </c>
      <c r="G57" s="8"/>
      <c r="H57" s="126">
        <f>F57-D57</f>
        <v>0</v>
      </c>
      <c r="I57" s="8"/>
      <c r="J57" s="8"/>
      <c r="L57" s="8"/>
      <c r="M57" s="8"/>
      <c r="N57" s="8"/>
      <c r="P57" s="12"/>
      <c r="Q57" s="12"/>
      <c r="R57" s="12"/>
      <c r="S57" s="12"/>
      <c r="T57" s="12"/>
      <c r="X57" s="12"/>
      <c r="Y57" s="12"/>
      <c r="Z57" s="8"/>
      <c r="AB57" s="8"/>
      <c r="AC57" s="8"/>
      <c r="AD57" s="8"/>
      <c r="AE57" s="8"/>
      <c r="AF57" s="8"/>
      <c r="AG57" s="8"/>
      <c r="AH57" s="8"/>
      <c r="AJ57" s="8"/>
      <c r="AK57" s="8"/>
      <c r="AL57" s="8"/>
    </row>
    <row r="58" spans="2:38" x14ac:dyDescent="0.55000000000000004">
      <c r="B58" s="4">
        <v>5404.12</v>
      </c>
      <c r="C58" t="s">
        <v>152</v>
      </c>
      <c r="D58" s="126">
        <v>0</v>
      </c>
      <c r="E58" s="8"/>
      <c r="F58" s="128">
        <v>80</v>
      </c>
      <c r="G58" s="8"/>
      <c r="H58" s="126">
        <f>F58-D58</f>
        <v>80</v>
      </c>
      <c r="I58" s="8"/>
      <c r="J58" s="8"/>
      <c r="L58" s="8"/>
      <c r="M58" s="8"/>
      <c r="N58" s="8"/>
      <c r="Z58" s="8"/>
      <c r="AB58" s="8"/>
      <c r="AC58" s="8"/>
      <c r="AD58" s="8"/>
      <c r="AE58" s="8"/>
      <c r="AF58" s="8"/>
      <c r="AG58" s="8"/>
      <c r="AH58" s="8"/>
      <c r="AJ58" s="8"/>
      <c r="AK58" s="8"/>
      <c r="AL58" s="8"/>
    </row>
    <row r="59" spans="2:38" x14ac:dyDescent="0.55000000000000004">
      <c r="B59" s="292" t="s">
        <v>156</v>
      </c>
      <c r="C59" s="292"/>
      <c r="D59" s="127">
        <f>SUM(D54:D58)</f>
        <v>0</v>
      </c>
      <c r="E59" s="12"/>
      <c r="F59" s="133">
        <f t="shared" ref="F59" si="9">SUM(F54:F58)</f>
        <v>5386</v>
      </c>
      <c r="G59" s="12"/>
      <c r="H59" s="127">
        <f t="shared" ref="H59" si="10">SUM(H54:H58)</f>
        <v>5386</v>
      </c>
      <c r="I59" s="12"/>
      <c r="J59" s="12"/>
      <c r="L59" s="12"/>
      <c r="M59" s="12"/>
      <c r="N59" s="12"/>
      <c r="P59" s="12"/>
      <c r="Q59" s="12"/>
      <c r="R59" s="12"/>
      <c r="S59" s="12"/>
      <c r="T59" s="12"/>
      <c r="U59" s="12"/>
      <c r="V59" s="12"/>
      <c r="X59" s="12"/>
      <c r="Y59" s="12"/>
      <c r="Z59" s="12"/>
      <c r="AB59" s="12"/>
      <c r="AC59" s="12"/>
      <c r="AD59" s="12"/>
      <c r="AE59" s="12"/>
      <c r="AF59" s="12"/>
      <c r="AG59" s="12"/>
      <c r="AH59" s="12"/>
      <c r="AJ59" s="12"/>
      <c r="AK59" s="12"/>
      <c r="AL59" s="12"/>
    </row>
    <row r="60" spans="2:38" x14ac:dyDescent="0.55000000000000004">
      <c r="B60" s="124"/>
      <c r="C60" s="124"/>
      <c r="D60" s="12"/>
      <c r="E60" s="12"/>
      <c r="F60" s="10"/>
      <c r="G60" s="12"/>
      <c r="H60" s="12"/>
      <c r="I60" s="12"/>
      <c r="J60" s="12"/>
      <c r="L60" s="12"/>
      <c r="M60" s="12"/>
      <c r="N60" s="12"/>
      <c r="P60" s="12"/>
      <c r="Q60" s="12"/>
      <c r="R60" s="12"/>
      <c r="S60" s="12"/>
      <c r="T60" s="12"/>
      <c r="U60" s="12"/>
      <c r="V60" s="12"/>
      <c r="X60" s="12"/>
      <c r="Y60" s="12"/>
      <c r="Z60" s="12"/>
      <c r="AB60" s="12"/>
      <c r="AC60" s="12"/>
      <c r="AD60" s="12"/>
      <c r="AE60" s="12"/>
      <c r="AF60" s="12"/>
      <c r="AG60" s="12"/>
      <c r="AH60" s="12"/>
      <c r="AJ60" s="12"/>
      <c r="AK60" s="12"/>
      <c r="AL60" s="12"/>
    </row>
    <row r="61" spans="2:38" x14ac:dyDescent="0.55000000000000004">
      <c r="B61" s="124"/>
      <c r="C61" s="124" t="s">
        <v>157</v>
      </c>
      <c r="D61" s="127">
        <f>D52+D59</f>
        <v>932951.18</v>
      </c>
      <c r="E61" s="12"/>
      <c r="F61" s="135">
        <f>F52+F59</f>
        <v>4377754.5</v>
      </c>
      <c r="G61" s="12"/>
      <c r="H61" s="127">
        <f t="shared" ref="H61" si="11">H52+H59</f>
        <v>3444803.32</v>
      </c>
      <c r="I61" s="12"/>
      <c r="J61" s="12"/>
      <c r="L61" s="12"/>
      <c r="M61" s="12"/>
      <c r="N61" s="12"/>
      <c r="P61" s="12"/>
      <c r="Q61" s="12"/>
      <c r="R61" s="12"/>
      <c r="S61" s="12"/>
      <c r="T61" s="12"/>
      <c r="U61" s="12"/>
      <c r="V61" s="12"/>
      <c r="X61" s="12"/>
      <c r="Y61" s="12"/>
      <c r="Z61" s="12"/>
      <c r="AB61" s="12"/>
      <c r="AC61" s="12"/>
      <c r="AD61" s="12"/>
      <c r="AE61" s="12"/>
      <c r="AF61" s="12"/>
      <c r="AG61" s="12"/>
      <c r="AH61" s="12"/>
      <c r="AJ61" s="12"/>
      <c r="AK61" s="12"/>
      <c r="AL61" s="12"/>
    </row>
    <row r="62" spans="2:38" x14ac:dyDescent="0.55000000000000004">
      <c r="D62" s="11">
        <f>D61/10^6</f>
        <v>0.9329511800000001</v>
      </c>
      <c r="F62" s="11">
        <f>F61/10^6</f>
        <v>4.3777545</v>
      </c>
    </row>
    <row r="63" spans="2:38" x14ac:dyDescent="0.55000000000000004">
      <c r="B63" s="4"/>
      <c r="D63" s="1"/>
      <c r="E63" s="1"/>
      <c r="F63" s="1"/>
      <c r="G63" s="1"/>
      <c r="H63" s="1"/>
      <c r="I63" s="1"/>
      <c r="J63" s="1"/>
      <c r="L63" s="1"/>
      <c r="M63" s="1"/>
      <c r="N63" s="1"/>
      <c r="P63" s="7"/>
      <c r="Q63" s="7"/>
      <c r="R63" s="7"/>
      <c r="S63" s="7"/>
      <c r="T63" s="7"/>
      <c r="U63" s="1"/>
      <c r="V63" s="1"/>
      <c r="X63" s="1"/>
      <c r="Y63" s="1"/>
      <c r="Z63" s="1"/>
      <c r="AB63" s="8"/>
      <c r="AC63" s="8"/>
      <c r="AD63" s="8"/>
      <c r="AE63" s="8"/>
      <c r="AF63" s="8"/>
      <c r="AG63" s="1"/>
      <c r="AH63" s="1"/>
      <c r="AJ63" s="1"/>
      <c r="AK63" s="1"/>
      <c r="AL63" s="1"/>
    </row>
    <row r="64" spans="2:38" x14ac:dyDescent="0.55000000000000004">
      <c r="B64" s="4"/>
      <c r="D64" s="1"/>
      <c r="E64" s="1"/>
      <c r="F64" s="1"/>
      <c r="G64" s="1"/>
      <c r="H64" s="1"/>
      <c r="I64" s="7"/>
      <c r="J64" s="7"/>
      <c r="L64" s="7"/>
      <c r="M64" s="7"/>
      <c r="N64" s="7"/>
      <c r="P64" s="1"/>
      <c r="Q64" s="1"/>
      <c r="R64" s="1"/>
      <c r="S64" s="1"/>
      <c r="T64" s="1"/>
      <c r="U64" s="7"/>
      <c r="V64" s="7"/>
      <c r="X64" s="7"/>
      <c r="Y64" s="7"/>
      <c r="Z64" s="7"/>
      <c r="AB64" s="1"/>
      <c r="AC64" s="1"/>
      <c r="AD64" s="1"/>
      <c r="AE64" s="1"/>
      <c r="AF64" s="1"/>
      <c r="AG64" s="8"/>
      <c r="AH64" s="8"/>
      <c r="AJ64" s="8"/>
      <c r="AK64" s="8"/>
      <c r="AL64" s="8"/>
    </row>
    <row r="65" spans="1:38" x14ac:dyDescent="0.55000000000000004">
      <c r="B65" s="6"/>
      <c r="D65" s="1"/>
      <c r="E65" s="1"/>
      <c r="F65" s="1"/>
      <c r="G65" s="1"/>
      <c r="H65" s="1"/>
      <c r="I65" s="1"/>
      <c r="J65" s="7"/>
      <c r="L65" s="7"/>
      <c r="M65" s="7"/>
      <c r="N65" s="7"/>
      <c r="P65" s="1"/>
      <c r="Q65" s="1"/>
      <c r="R65" s="1"/>
      <c r="S65" s="1"/>
      <c r="T65" s="1"/>
      <c r="U65" s="7"/>
      <c r="V65" s="7"/>
      <c r="X65" s="7"/>
      <c r="Y65" s="7"/>
      <c r="Z65" s="7"/>
      <c r="AB65" s="1"/>
      <c r="AC65" s="1"/>
      <c r="AD65" s="1"/>
      <c r="AE65" s="1"/>
      <c r="AF65" s="1"/>
      <c r="AG65" s="1"/>
      <c r="AH65" s="8"/>
      <c r="AJ65" s="8"/>
      <c r="AK65" s="8"/>
      <c r="AL65" s="8"/>
    </row>
    <row r="66" spans="1:38" x14ac:dyDescent="0.55000000000000004">
      <c r="C66" s="10"/>
      <c r="D66" s="1"/>
      <c r="E66" s="1"/>
      <c r="F66" s="1"/>
      <c r="G66" s="1"/>
      <c r="H66" s="1"/>
      <c r="I66" s="12"/>
      <c r="J66" s="12"/>
      <c r="L66" s="12"/>
      <c r="M66" s="12"/>
      <c r="N66" s="12"/>
      <c r="O66" s="10"/>
      <c r="P66" s="12"/>
      <c r="Q66" s="12"/>
      <c r="R66" s="12"/>
      <c r="S66" s="12"/>
      <c r="T66" s="12"/>
      <c r="U66" s="12"/>
      <c r="V66" s="12"/>
      <c r="X66" s="12"/>
      <c r="Y66" s="12"/>
      <c r="Z66" s="12"/>
      <c r="AA66" s="10"/>
      <c r="AB66" s="12"/>
      <c r="AC66" s="12"/>
      <c r="AD66" s="12"/>
      <c r="AE66" s="12"/>
      <c r="AF66" s="12"/>
      <c r="AG66" s="12"/>
      <c r="AH66" s="12"/>
      <c r="AJ66" s="12"/>
      <c r="AK66" s="12"/>
      <c r="AL66" s="12"/>
    </row>
    <row r="68" spans="1:38" x14ac:dyDescent="0.55000000000000004">
      <c r="A68" t="s">
        <v>3</v>
      </c>
      <c r="B68" s="4">
        <v>3919.9</v>
      </c>
      <c r="C68" t="s">
        <v>15</v>
      </c>
      <c r="D68" s="130">
        <v>141752.51999999999</v>
      </c>
      <c r="E68" s="7"/>
      <c r="F68" s="130">
        <v>150581.88</v>
      </c>
      <c r="G68" s="7"/>
      <c r="H68" s="126">
        <f t="shared" ref="H68:H73" si="12">F68-D68</f>
        <v>8829.3600000000151</v>
      </c>
      <c r="I68" s="7"/>
      <c r="J68" s="7"/>
      <c r="L68" s="7"/>
      <c r="M68" s="7"/>
      <c r="N68" s="7"/>
      <c r="P68" s="7"/>
      <c r="Q68" s="7"/>
      <c r="R68" s="7"/>
      <c r="S68" s="7"/>
      <c r="T68" s="7"/>
      <c r="U68" s="7"/>
      <c r="V68" s="7"/>
      <c r="X68" s="7"/>
      <c r="Y68" s="7"/>
      <c r="Z68" s="7"/>
      <c r="AB68" s="8"/>
      <c r="AC68" s="8"/>
      <c r="AD68" s="8"/>
      <c r="AE68" s="8"/>
      <c r="AF68" s="8"/>
      <c r="AG68" s="8"/>
      <c r="AH68" s="8"/>
      <c r="AJ68" s="8"/>
      <c r="AK68" s="8"/>
      <c r="AL68" s="8"/>
    </row>
    <row r="69" spans="1:38" x14ac:dyDescent="0.55000000000000004">
      <c r="B69" s="4">
        <v>3920.1</v>
      </c>
      <c r="C69" t="s">
        <v>14</v>
      </c>
      <c r="D69" s="130">
        <v>149843.4</v>
      </c>
      <c r="E69" s="7"/>
      <c r="F69" s="130">
        <v>40276.32</v>
      </c>
      <c r="G69" s="7"/>
      <c r="H69" s="126">
        <f t="shared" si="12"/>
        <v>-109567.07999999999</v>
      </c>
      <c r="I69" s="7"/>
      <c r="J69" s="7"/>
      <c r="L69" s="7"/>
      <c r="M69" s="7"/>
      <c r="N69" s="7"/>
      <c r="P69" s="7"/>
      <c r="Q69" s="7"/>
      <c r="R69" s="7"/>
      <c r="S69" s="7"/>
      <c r="T69" s="7"/>
      <c r="U69" s="7"/>
      <c r="V69" s="7"/>
      <c r="X69" s="7"/>
      <c r="Y69" s="7"/>
      <c r="Z69" s="7"/>
      <c r="AB69" s="8"/>
      <c r="AC69" s="8"/>
      <c r="AD69" s="8"/>
      <c r="AE69" s="8"/>
      <c r="AF69" s="8"/>
      <c r="AG69" s="8"/>
      <c r="AH69" s="8"/>
      <c r="AJ69" s="8"/>
      <c r="AK69" s="8"/>
      <c r="AL69" s="8"/>
    </row>
    <row r="70" spans="1:38" x14ac:dyDescent="0.55000000000000004">
      <c r="B70" s="4">
        <v>3920.62</v>
      </c>
      <c r="C70" t="s">
        <v>140</v>
      </c>
      <c r="D70" s="130">
        <v>90514</v>
      </c>
      <c r="E70" s="7"/>
      <c r="F70" s="130">
        <v>3155423</v>
      </c>
      <c r="G70" s="7"/>
      <c r="H70" s="126">
        <f t="shared" si="12"/>
        <v>3064909</v>
      </c>
      <c r="I70" s="7"/>
      <c r="J70" s="7"/>
      <c r="L70" s="7"/>
      <c r="M70" s="7"/>
      <c r="N70" s="7"/>
      <c r="P70" s="7"/>
      <c r="Q70" s="7"/>
      <c r="R70" s="7"/>
      <c r="S70" s="7"/>
      <c r="T70" s="7"/>
      <c r="U70" s="7"/>
      <c r="V70" s="7"/>
      <c r="X70" s="7"/>
      <c r="Y70" s="7"/>
      <c r="Z70" s="7"/>
      <c r="AB70" s="8"/>
      <c r="AC70" s="8"/>
      <c r="AD70" s="8"/>
      <c r="AE70" s="8"/>
      <c r="AF70" s="8"/>
      <c r="AG70" s="8"/>
      <c r="AH70" s="8"/>
      <c r="AJ70" s="8"/>
      <c r="AK70" s="8"/>
      <c r="AL70" s="8"/>
    </row>
    <row r="71" spans="1:38" x14ac:dyDescent="0.55000000000000004">
      <c r="B71" s="4">
        <v>3920.99</v>
      </c>
      <c r="C71" t="s">
        <v>16</v>
      </c>
      <c r="D71" s="130">
        <v>15206.279999999999</v>
      </c>
      <c r="E71" s="7"/>
      <c r="F71" s="130">
        <v>265524</v>
      </c>
      <c r="G71" s="7"/>
      <c r="H71" s="126">
        <f t="shared" si="12"/>
        <v>250317.72</v>
      </c>
      <c r="I71" s="7"/>
      <c r="J71" s="7"/>
      <c r="L71" s="7"/>
      <c r="M71" s="7"/>
      <c r="N71" s="7"/>
      <c r="P71" s="7"/>
      <c r="Q71" s="7"/>
      <c r="R71" s="7"/>
      <c r="S71" s="7"/>
      <c r="T71" s="7"/>
      <c r="U71" s="7"/>
      <c r="V71" s="7"/>
      <c r="X71" s="7"/>
      <c r="Y71" s="7"/>
      <c r="Z71" s="7"/>
      <c r="AB71" s="8"/>
      <c r="AC71" s="8"/>
      <c r="AD71" s="8"/>
      <c r="AE71" s="8"/>
      <c r="AF71" s="8"/>
      <c r="AG71" s="8"/>
      <c r="AH71" s="8"/>
      <c r="AJ71" s="8"/>
      <c r="AK71" s="8"/>
      <c r="AL71" s="8"/>
    </row>
    <row r="72" spans="1:38" x14ac:dyDescent="0.55000000000000004">
      <c r="B72" s="4">
        <v>3921.19</v>
      </c>
      <c r="C72" t="s">
        <v>17</v>
      </c>
      <c r="D72" s="130">
        <v>76158.899999999994</v>
      </c>
      <c r="E72" s="7"/>
      <c r="F72" s="130">
        <v>373041.3</v>
      </c>
      <c r="G72" s="7"/>
      <c r="H72" s="126">
        <f t="shared" si="12"/>
        <v>296882.40000000002</v>
      </c>
      <c r="I72" s="7"/>
      <c r="J72" s="7"/>
      <c r="L72" s="7"/>
      <c r="M72" s="7"/>
      <c r="N72" s="7"/>
      <c r="P72" s="7"/>
      <c r="Q72" s="7"/>
      <c r="R72" s="7"/>
      <c r="S72" s="7"/>
      <c r="T72" s="7"/>
      <c r="U72" s="7"/>
      <c r="V72" s="7"/>
      <c r="X72" s="7"/>
      <c r="Y72" s="7"/>
      <c r="Z72" s="7"/>
      <c r="AB72" s="8"/>
      <c r="AC72" s="8"/>
      <c r="AD72" s="8"/>
      <c r="AE72" s="8"/>
      <c r="AF72" s="8"/>
      <c r="AG72" s="8"/>
      <c r="AH72" s="8"/>
      <c r="AJ72" s="8"/>
      <c r="AK72" s="8"/>
      <c r="AL72" s="8"/>
    </row>
    <row r="73" spans="1:38" x14ac:dyDescent="0.55000000000000004">
      <c r="B73" s="4">
        <v>3921.9</v>
      </c>
      <c r="C73" t="s">
        <v>20</v>
      </c>
      <c r="D73" s="130">
        <v>85450.08</v>
      </c>
      <c r="E73" s="7"/>
      <c r="F73" s="130">
        <v>346304.27999999997</v>
      </c>
      <c r="G73" s="7"/>
      <c r="H73" s="126">
        <f t="shared" si="12"/>
        <v>260854.19999999995</v>
      </c>
      <c r="I73" s="7"/>
      <c r="J73" s="7"/>
      <c r="L73" s="7"/>
      <c r="M73" s="7"/>
      <c r="N73" s="7"/>
      <c r="P73" s="7"/>
      <c r="Q73" s="7"/>
      <c r="R73" s="7"/>
      <c r="S73" s="7"/>
      <c r="T73" s="7"/>
      <c r="U73" s="7"/>
      <c r="V73" s="7"/>
      <c r="X73" s="7"/>
      <c r="Y73" s="7"/>
      <c r="Z73" s="7"/>
      <c r="AB73" s="8"/>
      <c r="AC73" s="8"/>
      <c r="AD73" s="8"/>
      <c r="AE73" s="8"/>
      <c r="AF73" s="8"/>
      <c r="AG73" s="8"/>
      <c r="AH73" s="8"/>
      <c r="AJ73" s="8"/>
      <c r="AK73" s="8"/>
      <c r="AL73" s="8"/>
    </row>
    <row r="74" spans="1:38" x14ac:dyDescent="0.55000000000000004">
      <c r="C74" s="10" t="s">
        <v>153</v>
      </c>
      <c r="D74" s="127">
        <f>SUM(D68:D73)</f>
        <v>558925.17999999993</v>
      </c>
      <c r="E74" s="12"/>
      <c r="F74" s="127">
        <f>SUM(F68:F73)</f>
        <v>4331150.78</v>
      </c>
      <c r="G74" s="12"/>
      <c r="H74" s="127">
        <f t="shared" ref="H74" si="13">SUM(H68:H73)</f>
        <v>3772225.6000000006</v>
      </c>
      <c r="I74" s="12"/>
      <c r="J74" s="12"/>
      <c r="L74" s="12"/>
      <c r="M74" s="12"/>
      <c r="N74" s="12"/>
      <c r="P74" s="12"/>
      <c r="Q74" s="12"/>
      <c r="R74" s="12"/>
      <c r="S74" s="12"/>
      <c r="T74" s="12"/>
      <c r="U74" s="12"/>
      <c r="V74" s="12"/>
      <c r="X74" s="12"/>
      <c r="Y74" s="12"/>
      <c r="Z74" s="12"/>
      <c r="AB74" s="12"/>
      <c r="AC74" s="12"/>
      <c r="AD74" s="12"/>
      <c r="AE74" s="12"/>
      <c r="AF74" s="12"/>
      <c r="AG74" s="12"/>
      <c r="AH74" s="12"/>
      <c r="AJ74" s="12"/>
      <c r="AK74" s="12"/>
      <c r="AL74" s="12"/>
    </row>
    <row r="76" spans="1:38" x14ac:dyDescent="0.55000000000000004">
      <c r="B76" s="4">
        <v>5401.1</v>
      </c>
      <c r="C76" t="s">
        <v>141</v>
      </c>
      <c r="D76" s="132">
        <v>93.39</v>
      </c>
      <c r="E76" s="131"/>
      <c r="F76" s="130">
        <v>38417.279999999999</v>
      </c>
      <c r="G76" s="131"/>
      <c r="H76" s="126">
        <f t="shared" ref="H76:H82" si="14">F76-D76</f>
        <v>38323.89</v>
      </c>
      <c r="I76" s="131"/>
      <c r="J76" s="131"/>
      <c r="L76" s="131"/>
      <c r="M76" s="1"/>
      <c r="N76" s="131"/>
      <c r="P76" s="7"/>
      <c r="Q76" s="7"/>
      <c r="R76" s="7"/>
      <c r="S76" s="7"/>
      <c r="T76" s="7"/>
      <c r="U76" s="7"/>
      <c r="V76" s="7"/>
      <c r="X76" s="7"/>
      <c r="Y76" s="7"/>
      <c r="Z76" s="7"/>
      <c r="AB76" s="8"/>
      <c r="AC76" s="8"/>
      <c r="AD76" s="8"/>
      <c r="AE76" s="8"/>
      <c r="AF76" s="8"/>
      <c r="AG76" s="8"/>
      <c r="AH76" s="8"/>
      <c r="AJ76" s="8"/>
      <c r="AK76" s="8"/>
      <c r="AL76" s="8"/>
    </row>
    <row r="77" spans="1:38" x14ac:dyDescent="0.55000000000000004">
      <c r="B77" s="4">
        <v>5402.2</v>
      </c>
      <c r="C77" t="s">
        <v>142</v>
      </c>
      <c r="D77" s="129">
        <v>0</v>
      </c>
      <c r="E77" s="1"/>
      <c r="F77" s="130">
        <v>259312</v>
      </c>
      <c r="G77" s="1"/>
      <c r="H77" s="126">
        <f t="shared" si="14"/>
        <v>259312</v>
      </c>
      <c r="I77" s="1"/>
      <c r="J77" s="1"/>
      <c r="L77" s="1"/>
      <c r="M77" s="1"/>
      <c r="N77" s="1"/>
      <c r="P77" s="7"/>
      <c r="Q77" s="1"/>
      <c r="R77" s="7"/>
      <c r="S77" s="7"/>
      <c r="T77" s="7"/>
      <c r="U77" s="7"/>
      <c r="V77" s="7"/>
      <c r="X77" s="7"/>
      <c r="Y77" s="7"/>
      <c r="Z77" s="7"/>
      <c r="AC77" s="8"/>
      <c r="AD77" s="8"/>
      <c r="AE77" s="8"/>
      <c r="AF77" s="8"/>
      <c r="AG77" s="8"/>
      <c r="AH77" s="8"/>
      <c r="AJ77" s="8"/>
      <c r="AK77" s="8"/>
      <c r="AL77" s="8"/>
    </row>
    <row r="78" spans="1:38" x14ac:dyDescent="0.55000000000000004">
      <c r="B78" s="4">
        <v>5402.33</v>
      </c>
      <c r="C78" t="s">
        <v>143</v>
      </c>
      <c r="D78" s="129">
        <v>0</v>
      </c>
      <c r="E78" s="1"/>
      <c r="F78" s="130">
        <v>26909</v>
      </c>
      <c r="G78" s="131"/>
      <c r="H78" s="126">
        <f t="shared" si="14"/>
        <v>26909</v>
      </c>
      <c r="I78" s="131"/>
      <c r="J78" s="1"/>
      <c r="L78" s="1"/>
      <c r="M78" s="1"/>
      <c r="N78" s="1"/>
      <c r="P78" s="7"/>
      <c r="Q78" s="7"/>
      <c r="R78" s="7"/>
      <c r="S78" s="7"/>
      <c r="T78" s="7"/>
      <c r="U78" s="7"/>
      <c r="V78" s="7"/>
      <c r="X78" s="7"/>
      <c r="Y78" s="7"/>
      <c r="Z78" s="7"/>
      <c r="AB78" s="8"/>
      <c r="AC78" s="8"/>
      <c r="AD78" s="8"/>
      <c r="AE78" s="8"/>
      <c r="AF78" s="8"/>
      <c r="AG78" s="8"/>
      <c r="AH78" s="8"/>
      <c r="AJ78" s="8"/>
      <c r="AK78" s="8"/>
      <c r="AL78" s="8"/>
    </row>
    <row r="79" spans="1:38" x14ac:dyDescent="0.55000000000000004">
      <c r="B79" s="4">
        <v>5402.46</v>
      </c>
      <c r="C79" t="s">
        <v>144</v>
      </c>
      <c r="D79" s="129">
        <v>0</v>
      </c>
      <c r="E79" s="1"/>
      <c r="F79" s="129">
        <v>0</v>
      </c>
      <c r="G79" s="1"/>
      <c r="H79" s="126">
        <f t="shared" si="14"/>
        <v>0</v>
      </c>
      <c r="I79" s="1"/>
      <c r="J79" s="1"/>
      <c r="L79" s="1"/>
      <c r="M79" s="1"/>
      <c r="N79" s="1"/>
      <c r="P79" s="1"/>
      <c r="Q79" s="1"/>
      <c r="R79" s="1"/>
      <c r="S79" s="1"/>
      <c r="T79" s="1"/>
      <c r="U79" s="1"/>
      <c r="V79" s="1"/>
      <c r="X79" s="1"/>
      <c r="Y79" s="1"/>
      <c r="Z79" s="1"/>
      <c r="AB79" s="8"/>
      <c r="AC79" s="8"/>
      <c r="AD79" s="8"/>
      <c r="AE79" s="8"/>
      <c r="AF79" s="8"/>
      <c r="AG79" s="8"/>
      <c r="AH79" s="8"/>
      <c r="AJ79" s="8"/>
      <c r="AK79" s="8"/>
      <c r="AL79" s="8"/>
    </row>
    <row r="80" spans="1:38" x14ac:dyDescent="0.55000000000000004">
      <c r="B80" s="4">
        <v>5402.47</v>
      </c>
      <c r="C80" t="s">
        <v>145</v>
      </c>
      <c r="D80" s="129">
        <v>0</v>
      </c>
      <c r="E80" s="1"/>
      <c r="F80" s="130">
        <v>59497</v>
      </c>
      <c r="G80" s="1"/>
      <c r="H80" s="126">
        <f t="shared" si="14"/>
        <v>59497</v>
      </c>
      <c r="I80" s="1"/>
      <c r="J80" s="1"/>
      <c r="L80" s="1"/>
      <c r="M80" s="1"/>
      <c r="N80" s="1"/>
      <c r="P80" s="1"/>
      <c r="Q80" s="1"/>
      <c r="R80" s="7"/>
      <c r="S80" s="7"/>
      <c r="T80" s="7"/>
      <c r="U80" s="7"/>
      <c r="V80" s="7"/>
      <c r="X80" s="7"/>
      <c r="Y80" s="7"/>
      <c r="Z80" s="1"/>
      <c r="AB80" s="8"/>
      <c r="AC80" s="8"/>
      <c r="AD80" s="8"/>
      <c r="AE80" s="8"/>
      <c r="AF80" s="8"/>
      <c r="AG80" s="8"/>
      <c r="AH80" s="8"/>
      <c r="AJ80" s="8"/>
      <c r="AK80" s="8"/>
      <c r="AL80" s="8"/>
    </row>
    <row r="81" spans="1:38" x14ac:dyDescent="0.55000000000000004">
      <c r="B81" s="4">
        <v>5402.52</v>
      </c>
      <c r="C81" t="s">
        <v>146</v>
      </c>
      <c r="D81" s="129">
        <v>0</v>
      </c>
      <c r="E81" s="1"/>
      <c r="F81" s="129">
        <v>0</v>
      </c>
      <c r="G81" s="1"/>
      <c r="H81" s="126">
        <f t="shared" si="14"/>
        <v>0</v>
      </c>
      <c r="I81" s="1"/>
      <c r="J81" s="1"/>
      <c r="L81" s="1"/>
      <c r="M81" s="1"/>
      <c r="N81" s="1"/>
      <c r="P81" s="7"/>
      <c r="Q81" s="1"/>
      <c r="R81" s="1"/>
      <c r="S81" s="7"/>
      <c r="T81" s="1"/>
      <c r="U81" s="1"/>
      <c r="V81" s="1"/>
      <c r="X81" s="1"/>
      <c r="Y81" s="7"/>
      <c r="Z81" s="1"/>
      <c r="AB81" s="8"/>
      <c r="AC81" s="8"/>
      <c r="AD81" s="8"/>
      <c r="AE81" s="8"/>
      <c r="AF81" s="8"/>
      <c r="AG81" s="8"/>
      <c r="AH81" s="8"/>
      <c r="AJ81" s="8"/>
      <c r="AK81" s="8"/>
      <c r="AL81" s="8"/>
    </row>
    <row r="82" spans="1:38" x14ac:dyDescent="0.55000000000000004">
      <c r="B82" s="4">
        <v>5402.62</v>
      </c>
      <c r="C82" t="s">
        <v>147</v>
      </c>
      <c r="D82" s="129">
        <v>0</v>
      </c>
      <c r="E82" s="1"/>
      <c r="F82" s="129">
        <v>0</v>
      </c>
      <c r="G82" s="1"/>
      <c r="H82" s="126">
        <f t="shared" si="14"/>
        <v>0</v>
      </c>
      <c r="I82" s="1"/>
      <c r="J82" s="1"/>
      <c r="L82" s="1"/>
      <c r="M82" s="1"/>
      <c r="N82" s="1"/>
      <c r="P82" s="7"/>
      <c r="Q82" s="7"/>
      <c r="R82" s="7"/>
      <c r="S82" s="7"/>
      <c r="T82" s="1"/>
      <c r="U82" s="7"/>
      <c r="V82" s="1"/>
      <c r="X82" s="7"/>
      <c r="Y82" s="7"/>
      <c r="Z82" s="1"/>
      <c r="AB82" s="8"/>
      <c r="AC82" s="8"/>
      <c r="AD82" s="8"/>
      <c r="AE82" s="8"/>
      <c r="AF82" s="8"/>
      <c r="AG82" s="8"/>
      <c r="AH82" s="8"/>
      <c r="AJ82" s="8"/>
      <c r="AK82" s="8"/>
      <c r="AL82" s="8"/>
    </row>
    <row r="83" spans="1:38" x14ac:dyDescent="0.55000000000000004">
      <c r="C83" s="10" t="s">
        <v>154</v>
      </c>
      <c r="D83" s="127">
        <f>SUM(D76:D82)</f>
        <v>93.39</v>
      </c>
      <c r="E83" s="12"/>
      <c r="F83" s="127">
        <f t="shared" ref="F83" si="15">SUM(F76:F82)</f>
        <v>384135.28</v>
      </c>
      <c r="G83" s="12"/>
      <c r="H83" s="127">
        <f t="shared" ref="H83" si="16">SUM(H76:H82)</f>
        <v>384041.89</v>
      </c>
      <c r="I83" s="12"/>
      <c r="J83" s="12"/>
      <c r="L83" s="12"/>
      <c r="M83" s="12"/>
      <c r="N83" s="12"/>
      <c r="P83" s="12"/>
      <c r="Q83" s="12"/>
      <c r="R83" s="12"/>
      <c r="S83" s="12"/>
      <c r="T83" s="12"/>
      <c r="U83" s="12"/>
      <c r="V83" s="12"/>
      <c r="X83" s="12"/>
      <c r="Y83" s="12"/>
      <c r="Z83" s="12"/>
      <c r="AB83" s="12"/>
      <c r="AC83" s="12"/>
      <c r="AD83" s="12"/>
      <c r="AE83" s="12"/>
      <c r="AF83" s="12"/>
      <c r="AG83" s="12"/>
      <c r="AH83" s="12"/>
      <c r="AJ83" s="12"/>
      <c r="AK83" s="12"/>
      <c r="AL83" s="12"/>
    </row>
    <row r="84" spans="1:38" x14ac:dyDescent="0.55000000000000004">
      <c r="H84" s="8"/>
    </row>
    <row r="85" spans="1:38" x14ac:dyDescent="0.55000000000000004">
      <c r="C85" s="124" t="s">
        <v>158</v>
      </c>
      <c r="D85" s="135">
        <f>D74+D83</f>
        <v>559018.56999999995</v>
      </c>
      <c r="E85" s="12"/>
      <c r="F85" s="127">
        <f>F74+F83</f>
        <v>4715286.0600000005</v>
      </c>
      <c r="G85" s="12"/>
      <c r="H85" s="127">
        <f t="shared" ref="H85" si="17">H74+H83</f>
        <v>4156267.4900000007</v>
      </c>
      <c r="I85" s="12"/>
      <c r="J85" s="12"/>
      <c r="L85" s="12"/>
      <c r="M85" s="12"/>
      <c r="N85" s="12"/>
      <c r="P85" s="12"/>
      <c r="Q85" s="12"/>
      <c r="R85" s="12"/>
      <c r="S85" s="12"/>
      <c r="T85" s="12"/>
      <c r="U85" s="12"/>
      <c r="V85" s="12"/>
      <c r="X85" s="12"/>
      <c r="Y85" s="12"/>
      <c r="Z85" s="12"/>
      <c r="AB85" s="12"/>
      <c r="AC85" s="12"/>
      <c r="AD85" s="12"/>
      <c r="AE85" s="12"/>
      <c r="AF85" s="12"/>
      <c r="AG85" s="12"/>
      <c r="AH85" s="12"/>
      <c r="AJ85" s="12"/>
      <c r="AK85" s="12"/>
      <c r="AL85" s="12"/>
    </row>
    <row r="87" spans="1:38" x14ac:dyDescent="0.55000000000000004">
      <c r="D87" s="11">
        <f>D85/10^6</f>
        <v>0.55901856999999999</v>
      </c>
      <c r="F87" s="11">
        <f>F85/10^6</f>
        <v>4.7152860600000004</v>
      </c>
      <c r="H87" s="11">
        <f>F87-D87</f>
        <v>4.1562674900000003</v>
      </c>
    </row>
    <row r="90" spans="1:38" x14ac:dyDescent="0.55000000000000004">
      <c r="A90" t="s">
        <v>109</v>
      </c>
      <c r="B90" s="5">
        <v>3915.1</v>
      </c>
      <c r="C90" t="s">
        <v>160</v>
      </c>
      <c r="D90" s="135">
        <v>3054335</v>
      </c>
      <c r="E90" s="7"/>
      <c r="F90" s="136">
        <v>0</v>
      </c>
      <c r="G90" s="7"/>
      <c r="H90" s="127">
        <f>F90-D90</f>
        <v>-3054335</v>
      </c>
      <c r="I90" s="7"/>
      <c r="J90" s="7"/>
      <c r="L90" s="7"/>
      <c r="M90" s="7"/>
      <c r="N90" s="7"/>
      <c r="P90" s="7"/>
      <c r="Q90" s="7"/>
      <c r="R90" s="7"/>
      <c r="S90" s="7"/>
      <c r="T90" s="7"/>
      <c r="U90" s="7"/>
      <c r="V90" s="7"/>
      <c r="X90" s="7"/>
      <c r="Y90" s="7"/>
      <c r="Z90" s="7"/>
      <c r="AB90" s="8"/>
      <c r="AC90" s="8"/>
      <c r="AD90" s="8"/>
      <c r="AE90" s="8"/>
      <c r="AF90" s="8"/>
      <c r="AG90" s="8"/>
      <c r="AH90" s="8"/>
      <c r="AJ90" s="8"/>
      <c r="AK90" s="8"/>
      <c r="AL90" s="8"/>
    </row>
    <row r="93" spans="1:38" x14ac:dyDescent="0.55000000000000004">
      <c r="B93" s="5">
        <v>3915.9</v>
      </c>
      <c r="C93" t="s">
        <v>159</v>
      </c>
      <c r="D93" s="135">
        <v>5317835</v>
      </c>
      <c r="E93" s="7"/>
      <c r="F93" s="136">
        <v>43553</v>
      </c>
      <c r="G93" s="7"/>
      <c r="H93" s="127">
        <f>F93-D93</f>
        <v>-5274282</v>
      </c>
      <c r="I93" s="7"/>
      <c r="J93" s="7"/>
      <c r="L93" s="7"/>
      <c r="M93" s="7"/>
      <c r="N93" s="7"/>
      <c r="P93" s="7"/>
      <c r="Q93" s="7"/>
      <c r="R93" s="7"/>
      <c r="S93" s="7"/>
      <c r="T93" s="7"/>
      <c r="U93" s="7"/>
      <c r="V93" s="7"/>
      <c r="X93" s="7"/>
      <c r="Y93" s="7"/>
      <c r="Z93" s="7"/>
      <c r="AB93" s="8"/>
      <c r="AC93" s="8"/>
      <c r="AD93" s="8"/>
      <c r="AE93" s="8"/>
      <c r="AF93" s="8"/>
      <c r="AG93" s="8"/>
      <c r="AH93" s="8"/>
      <c r="AJ93" s="8"/>
      <c r="AK93" s="8"/>
      <c r="AL93" s="8"/>
    </row>
    <row r="95" spans="1:38" x14ac:dyDescent="0.55000000000000004">
      <c r="D95" s="8">
        <f>D90+D93</f>
        <v>8372170</v>
      </c>
      <c r="F95" s="11"/>
    </row>
    <row r="96" spans="1:38" x14ac:dyDescent="0.55000000000000004">
      <c r="D96" s="8"/>
    </row>
    <row r="97" spans="4:4" x14ac:dyDescent="0.55000000000000004">
      <c r="D97" s="8">
        <f>D95/1000</f>
        <v>8372.17</v>
      </c>
    </row>
    <row r="99" spans="4:4" x14ac:dyDescent="0.55000000000000004">
      <c r="D99" s="11">
        <f>D97/1000</f>
        <v>8.3721700000000006</v>
      </c>
    </row>
  </sheetData>
  <mergeCells count="4">
    <mergeCell ref="B59:C59"/>
    <mergeCell ref="B52:C52"/>
    <mergeCell ref="B16:C16"/>
    <mergeCell ref="B32:C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80224-2F74-4D96-A61D-8FEB0A7DE87A}">
  <dimension ref="C3:R25"/>
  <sheetViews>
    <sheetView topLeftCell="A11" zoomScale="85" zoomScaleNormal="85" workbookViewId="0">
      <selection activeCell="I6" sqref="I6"/>
    </sheetView>
  </sheetViews>
  <sheetFormatPr defaultRowHeight="14.4" x14ac:dyDescent="0.55000000000000004"/>
  <cols>
    <col min="3" max="3" width="10.41796875" customWidth="1"/>
    <col min="4" max="4" width="18.1015625" customWidth="1"/>
    <col min="13" max="14" width="21" bestFit="1" customWidth="1"/>
    <col min="17" max="17" width="31.3125" customWidth="1"/>
    <col min="18" max="18" width="31" customWidth="1"/>
  </cols>
  <sheetData>
    <row r="3" spans="3:17" ht="57.6" x14ac:dyDescent="0.55000000000000004">
      <c r="D3" s="171" t="s">
        <v>306</v>
      </c>
      <c r="E3" s="172" t="s">
        <v>334</v>
      </c>
      <c r="F3" s="172" t="s">
        <v>307</v>
      </c>
      <c r="G3" s="171" t="s">
        <v>109</v>
      </c>
      <c r="M3" s="277" t="s">
        <v>308</v>
      </c>
      <c r="N3" s="277"/>
      <c r="O3" s="277"/>
      <c r="P3" s="277"/>
      <c r="Q3" s="277"/>
    </row>
    <row r="4" spans="3:17" ht="57.6" x14ac:dyDescent="0.55000000000000004">
      <c r="C4" s="278" t="s">
        <v>309</v>
      </c>
      <c r="D4" s="174" t="s">
        <v>310</v>
      </c>
      <c r="E4" s="173">
        <v>1</v>
      </c>
      <c r="F4" s="173">
        <v>27.9</v>
      </c>
      <c r="G4" s="175">
        <v>3.0000000000000001E-3</v>
      </c>
      <c r="J4" s="13"/>
      <c r="M4" s="171" t="s">
        <v>311</v>
      </c>
      <c r="N4" s="172" t="s">
        <v>334</v>
      </c>
      <c r="O4" s="172" t="s">
        <v>307</v>
      </c>
      <c r="P4" s="171" t="s">
        <v>109</v>
      </c>
      <c r="Q4" s="171" t="s">
        <v>312</v>
      </c>
    </row>
    <row r="5" spans="3:17" ht="57.6" x14ac:dyDescent="0.55000000000000004">
      <c r="C5" s="278"/>
      <c r="D5" s="174" t="s">
        <v>313</v>
      </c>
      <c r="E5" s="173">
        <v>1.03</v>
      </c>
      <c r="F5" s="173">
        <v>26.2</v>
      </c>
      <c r="G5" s="175">
        <v>6.0000000000000001E-3</v>
      </c>
      <c r="M5" s="176" t="s">
        <v>1</v>
      </c>
      <c r="N5" s="177">
        <f>AVERAGE(E7,E12,E18)</f>
        <v>1.1200000000000001</v>
      </c>
      <c r="O5" s="177">
        <f>AVERAGE(F7,F12,F18)</f>
        <v>26.399999999999995</v>
      </c>
      <c r="P5" s="178">
        <f>AVERAGE(G7,G12,G18)</f>
        <v>1.2666666666666668E-2</v>
      </c>
      <c r="Q5" s="179" t="s">
        <v>314</v>
      </c>
    </row>
    <row r="6" spans="3:17" ht="144" x14ac:dyDescent="0.55000000000000004">
      <c r="C6" s="278"/>
      <c r="D6" s="174" t="s">
        <v>315</v>
      </c>
      <c r="E6" s="173">
        <v>1.25</v>
      </c>
      <c r="F6" s="173">
        <v>30.8</v>
      </c>
      <c r="G6" s="175">
        <v>2.1999999999999999E-2</v>
      </c>
      <c r="M6" s="176" t="s">
        <v>2</v>
      </c>
      <c r="N6" s="177">
        <f>AVERAGE(E7,E12,0.42)</f>
        <v>0.62444444444444447</v>
      </c>
      <c r="O6" s="177">
        <f>AVERAGE(F7,F12,9.86)</f>
        <v>15.673333333333332</v>
      </c>
      <c r="P6" s="178">
        <f>AVERAGE(G7,G12,0.01)</f>
        <v>1.0222222222222223E-2</v>
      </c>
      <c r="Q6" s="174" t="s">
        <v>316</v>
      </c>
    </row>
    <row r="7" spans="3:17" ht="28.8" x14ac:dyDescent="0.55000000000000004">
      <c r="D7" s="172" t="s">
        <v>317</v>
      </c>
      <c r="E7" s="177">
        <f>AVERAGE(E4:E6)</f>
        <v>1.0933333333333335</v>
      </c>
      <c r="F7" s="177">
        <f>AVERAGE(F4:F6)</f>
        <v>28.299999999999997</v>
      </c>
      <c r="G7" s="178">
        <f>AVERAGE(G4:G6)</f>
        <v>1.0333333333333333E-2</v>
      </c>
      <c r="M7" s="176" t="s">
        <v>23</v>
      </c>
      <c r="N7" s="177">
        <f>AVERAGE(E7,E12,E15)</f>
        <v>0.67444444444444451</v>
      </c>
      <c r="O7" s="177">
        <f>AVERAGE(F7,F12,F15)</f>
        <v>16.186666666666664</v>
      </c>
      <c r="P7" s="178">
        <f>AVERAGE(G7,G12,G15)</f>
        <v>6.8888888888888888E-3</v>
      </c>
      <c r="Q7" s="180" t="s">
        <v>318</v>
      </c>
    </row>
    <row r="8" spans="3:17" ht="43.2" x14ac:dyDescent="0.55000000000000004">
      <c r="D8" s="181"/>
      <c r="G8" s="1"/>
      <c r="M8" s="176" t="s">
        <v>3</v>
      </c>
      <c r="N8" s="177">
        <f>AVERAGE(E9,E11,E17)</f>
        <v>0.35666666666666669</v>
      </c>
      <c r="O8" s="177">
        <f>AVERAGE(F9,F11,F17)</f>
        <v>9.5666666666666647</v>
      </c>
      <c r="P8" s="182">
        <f>AVERAGE(G9,G11,G17)</f>
        <v>1.5666666666666666E-2</v>
      </c>
      <c r="Q8" s="180" t="s">
        <v>319</v>
      </c>
    </row>
    <row r="9" spans="3:17" x14ac:dyDescent="0.55000000000000004">
      <c r="C9" s="279" t="s">
        <v>320</v>
      </c>
      <c r="D9" s="174" t="s">
        <v>80</v>
      </c>
      <c r="E9" s="177">
        <v>0.41299999999999998</v>
      </c>
      <c r="F9" s="173">
        <v>10.7</v>
      </c>
      <c r="G9" s="175">
        <v>2.4E-2</v>
      </c>
    </row>
    <row r="10" spans="3:17" x14ac:dyDescent="0.55000000000000004">
      <c r="C10" s="279"/>
      <c r="D10" s="174" t="s">
        <v>82</v>
      </c>
      <c r="E10" s="177">
        <v>0.32</v>
      </c>
      <c r="F10" s="173">
        <v>7.6</v>
      </c>
      <c r="G10" s="175">
        <v>4.0000000000000001E-3</v>
      </c>
      <c r="I10" s="5"/>
    </row>
    <row r="11" spans="3:17" ht="84" customHeight="1" x14ac:dyDescent="0.55000000000000004">
      <c r="C11" s="279"/>
      <c r="D11" s="174" t="s">
        <v>321</v>
      </c>
      <c r="E11" s="177">
        <v>0.34699999999999998</v>
      </c>
      <c r="F11" s="173">
        <v>8.2799999999999994</v>
      </c>
      <c r="G11" s="175">
        <v>3.0000000000000001E-3</v>
      </c>
      <c r="H11" s="5"/>
      <c r="M11" s="174" t="s">
        <v>322</v>
      </c>
      <c r="N11" s="177">
        <f>AVERAGE(E10:E11)</f>
        <v>0.33350000000000002</v>
      </c>
      <c r="O11" s="177">
        <f>AVERAGE(F10:F11)</f>
        <v>7.9399999999999995</v>
      </c>
      <c r="P11" s="182">
        <f>AVERAGE(G10:G11)</f>
        <v>3.5000000000000001E-3</v>
      </c>
      <c r="Q11" s="174" t="s">
        <v>323</v>
      </c>
    </row>
    <row r="12" spans="3:17" ht="32.4" customHeight="1" x14ac:dyDescent="0.55000000000000004">
      <c r="D12" s="172" t="s">
        <v>317</v>
      </c>
      <c r="E12" s="177">
        <f>AVERAGE(E9:E11)</f>
        <v>0.36000000000000004</v>
      </c>
      <c r="F12" s="177">
        <f>AVERAGE(F9:F11)</f>
        <v>8.86</v>
      </c>
      <c r="G12" s="178">
        <f>AVERAGE(G9:G11)</f>
        <v>1.0333333333333333E-2</v>
      </c>
    </row>
    <row r="13" spans="3:17" ht="33" customHeight="1" x14ac:dyDescent="0.55000000000000004">
      <c r="D13" s="181"/>
      <c r="G13" s="1"/>
    </row>
    <row r="14" spans="3:17" x14ac:dyDescent="0.55000000000000004">
      <c r="D14" s="174" t="s">
        <v>324</v>
      </c>
      <c r="E14" s="173">
        <v>4.84</v>
      </c>
      <c r="F14" s="173">
        <v>105</v>
      </c>
      <c r="G14" s="175">
        <v>3.2000000000000001E-2</v>
      </c>
    </row>
    <row r="15" spans="3:17" x14ac:dyDescent="0.55000000000000004">
      <c r="D15" s="174" t="s">
        <v>325</v>
      </c>
      <c r="E15" s="177">
        <v>0.56999999999999995</v>
      </c>
      <c r="F15" s="173">
        <v>11.4</v>
      </c>
      <c r="G15" s="175">
        <v>0</v>
      </c>
    </row>
    <row r="16" spans="3:17" ht="28.8" customHeight="1" x14ac:dyDescent="0.55000000000000004">
      <c r="D16" s="174" t="s">
        <v>326</v>
      </c>
      <c r="E16" s="177">
        <v>0.65700000000000003</v>
      </c>
      <c r="F16" s="173">
        <v>18</v>
      </c>
      <c r="G16" s="175">
        <v>2.3E-2</v>
      </c>
      <c r="M16" s="183"/>
      <c r="N16" s="183"/>
      <c r="O16" s="183"/>
      <c r="P16" s="183"/>
      <c r="Q16" s="183"/>
    </row>
    <row r="17" spans="4:18" ht="41.4" customHeight="1" x14ac:dyDescent="0.55000000000000004">
      <c r="D17" s="174" t="s">
        <v>327</v>
      </c>
      <c r="E17" s="177">
        <f>E16-E11</f>
        <v>0.31000000000000005</v>
      </c>
      <c r="F17" s="173">
        <f>F16-F11</f>
        <v>9.7200000000000006</v>
      </c>
      <c r="G17" s="184">
        <v>0.02</v>
      </c>
    </row>
    <row r="18" spans="4:18" x14ac:dyDescent="0.55000000000000004">
      <c r="D18" s="172" t="s">
        <v>317</v>
      </c>
      <c r="E18" s="177">
        <f>AVERAGE(E14,E15,E17)</f>
        <v>1.906666666666667</v>
      </c>
      <c r="F18" s="177">
        <f>AVERAGE(F14,F15,F17)</f>
        <v>42.04</v>
      </c>
      <c r="G18" s="178">
        <f>AVERAGE(G14,G15,G17)</f>
        <v>1.7333333333333336E-2</v>
      </c>
    </row>
    <row r="19" spans="4:18" x14ac:dyDescent="0.55000000000000004">
      <c r="M19" s="280" t="s">
        <v>328</v>
      </c>
      <c r="N19" s="280"/>
      <c r="O19" s="280"/>
      <c r="P19" s="280"/>
      <c r="Q19" s="280"/>
      <c r="R19" s="171" t="s">
        <v>85</v>
      </c>
    </row>
    <row r="20" spans="4:18" x14ac:dyDescent="0.55000000000000004">
      <c r="D20" s="181"/>
      <c r="M20" s="185" t="s">
        <v>1</v>
      </c>
      <c r="N20" s="276" t="s">
        <v>329</v>
      </c>
      <c r="O20" s="276"/>
      <c r="P20" s="276"/>
      <c r="Q20" s="276"/>
      <c r="R20" s="274" t="s">
        <v>330</v>
      </c>
    </row>
    <row r="21" spans="4:18" ht="14.4" customHeight="1" x14ac:dyDescent="0.55000000000000004">
      <c r="D21" s="275" t="s">
        <v>589</v>
      </c>
      <c r="E21" s="275"/>
      <c r="F21" s="275"/>
      <c r="G21" s="275"/>
      <c r="H21" s="275"/>
      <c r="I21" s="275"/>
      <c r="M21" s="185" t="s">
        <v>23</v>
      </c>
      <c r="N21" s="276" t="s">
        <v>331</v>
      </c>
      <c r="O21" s="276"/>
      <c r="P21" s="276"/>
      <c r="Q21" s="276"/>
      <c r="R21" s="274"/>
    </row>
    <row r="22" spans="4:18" x14ac:dyDescent="0.55000000000000004">
      <c r="D22" s="275"/>
      <c r="E22" s="275"/>
      <c r="F22" s="275"/>
      <c r="G22" s="275"/>
      <c r="H22" s="275"/>
      <c r="I22" s="275"/>
      <c r="M22" s="185" t="s">
        <v>2</v>
      </c>
      <c r="N22" s="276" t="s">
        <v>332</v>
      </c>
      <c r="O22" s="276"/>
      <c r="P22" s="276"/>
      <c r="Q22" s="276"/>
      <c r="R22" s="274"/>
    </row>
    <row r="23" spans="4:18" x14ac:dyDescent="0.55000000000000004">
      <c r="D23" s="275"/>
      <c r="E23" s="275"/>
      <c r="F23" s="275"/>
      <c r="G23" s="275"/>
      <c r="H23" s="275"/>
      <c r="I23" s="275"/>
      <c r="M23" s="185" t="s">
        <v>3</v>
      </c>
      <c r="N23" s="276" t="s">
        <v>333</v>
      </c>
      <c r="O23" s="276"/>
      <c r="P23" s="276"/>
      <c r="Q23" s="276"/>
      <c r="R23" s="274"/>
    </row>
    <row r="24" spans="4:18" x14ac:dyDescent="0.55000000000000004">
      <c r="D24" s="275"/>
      <c r="E24" s="275"/>
      <c r="F24" s="275"/>
      <c r="G24" s="275"/>
      <c r="H24" s="275"/>
      <c r="I24" s="275"/>
    </row>
    <row r="25" spans="4:18" x14ac:dyDescent="0.55000000000000004">
      <c r="D25" s="275"/>
      <c r="E25" s="275"/>
      <c r="F25" s="275"/>
      <c r="G25" s="275"/>
      <c r="H25" s="275"/>
      <c r="I25" s="275"/>
    </row>
  </sheetData>
  <mergeCells count="10">
    <mergeCell ref="M3:Q3"/>
    <mergeCell ref="C4:C6"/>
    <mergeCell ref="C9:C11"/>
    <mergeCell ref="M19:Q19"/>
    <mergeCell ref="N20:Q20"/>
    <mergeCell ref="R20:R23"/>
    <mergeCell ref="D21:I25"/>
    <mergeCell ref="N21:Q21"/>
    <mergeCell ref="N22:Q22"/>
    <mergeCell ref="N23:Q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AE5C7-3A49-4E24-8515-D98F9E3FCF34}">
  <dimension ref="C3:M34"/>
  <sheetViews>
    <sheetView topLeftCell="A10" zoomScale="90" zoomScaleNormal="90" workbookViewId="0">
      <selection activeCell="Q15" sqref="Q15"/>
    </sheetView>
  </sheetViews>
  <sheetFormatPr defaultRowHeight="14.4" x14ac:dyDescent="0.55000000000000004"/>
  <cols>
    <col min="5" max="5" width="10" customWidth="1"/>
    <col min="6" max="6" width="13.68359375" customWidth="1"/>
    <col min="9" max="9" width="10.41796875" customWidth="1"/>
    <col min="10" max="10" width="23" customWidth="1"/>
    <col min="13" max="13" width="15.5234375" customWidth="1"/>
  </cols>
  <sheetData>
    <row r="3" spans="3:13" x14ac:dyDescent="0.55000000000000004">
      <c r="C3" s="282" t="s">
        <v>275</v>
      </c>
      <c r="D3" s="282"/>
      <c r="E3" s="282"/>
      <c r="H3" s="282" t="s">
        <v>336</v>
      </c>
      <c r="I3" s="282"/>
      <c r="J3" s="282"/>
    </row>
    <row r="4" spans="3:13" ht="43.2" x14ac:dyDescent="0.55000000000000004">
      <c r="C4" s="172" t="s">
        <v>337</v>
      </c>
      <c r="D4" s="172" t="s">
        <v>344</v>
      </c>
      <c r="E4" s="172" t="s">
        <v>338</v>
      </c>
      <c r="F4" s="14"/>
      <c r="H4" s="172" t="s">
        <v>337</v>
      </c>
      <c r="I4" s="172" t="s">
        <v>345</v>
      </c>
      <c r="J4" s="172" t="s">
        <v>338</v>
      </c>
    </row>
    <row r="5" spans="3:13" x14ac:dyDescent="0.55000000000000004">
      <c r="C5" s="185" t="s">
        <v>3</v>
      </c>
      <c r="D5" s="186">
        <v>2.1999999999999999E-2</v>
      </c>
      <c r="E5" s="177">
        <v>0.31</v>
      </c>
      <c r="F5" s="152"/>
      <c r="H5" s="185" t="s">
        <v>3</v>
      </c>
      <c r="I5" s="177">
        <v>1.37</v>
      </c>
      <c r="J5" s="177">
        <v>-11.62</v>
      </c>
    </row>
    <row r="6" spans="3:13" x14ac:dyDescent="0.55000000000000004">
      <c r="C6" s="185" t="s">
        <v>1</v>
      </c>
      <c r="D6" s="186">
        <v>2.1999999999999999E-2</v>
      </c>
      <c r="E6" s="177">
        <v>0.31</v>
      </c>
      <c r="F6" s="152"/>
      <c r="H6" s="185" t="s">
        <v>1</v>
      </c>
      <c r="I6" s="177">
        <v>1.42</v>
      </c>
      <c r="J6" s="177">
        <v>-21.9</v>
      </c>
    </row>
    <row r="7" spans="3:13" x14ac:dyDescent="0.55000000000000004">
      <c r="C7" s="185" t="s">
        <v>339</v>
      </c>
      <c r="D7" s="186">
        <v>2.1999999999999999E-2</v>
      </c>
      <c r="E7" s="177">
        <v>0.31</v>
      </c>
      <c r="F7" s="152"/>
      <c r="H7" s="185" t="s">
        <v>339</v>
      </c>
      <c r="I7" s="177">
        <v>1.42</v>
      </c>
      <c r="J7" s="177">
        <v>-21.77</v>
      </c>
    </row>
    <row r="8" spans="3:13" x14ac:dyDescent="0.55000000000000004">
      <c r="C8" s="185" t="s">
        <v>2</v>
      </c>
      <c r="D8" s="186">
        <v>2.1999999999999999E-2</v>
      </c>
      <c r="E8" s="177">
        <v>0.31</v>
      </c>
      <c r="F8" s="152"/>
      <c r="H8" s="185" t="s">
        <v>2</v>
      </c>
      <c r="I8" s="177">
        <v>1.42</v>
      </c>
      <c r="J8" s="177">
        <v>-21.85</v>
      </c>
    </row>
    <row r="9" spans="3:13" x14ac:dyDescent="0.55000000000000004">
      <c r="C9" s="185" t="s">
        <v>340</v>
      </c>
      <c r="D9" s="186">
        <v>2.1999999999999999E-2</v>
      </c>
      <c r="E9" s="177">
        <v>0.31</v>
      </c>
      <c r="F9" s="152"/>
      <c r="H9" s="185" t="s">
        <v>340</v>
      </c>
      <c r="I9" s="177">
        <v>1.42</v>
      </c>
      <c r="J9" s="177">
        <v>-21.85</v>
      </c>
    </row>
    <row r="10" spans="3:13" x14ac:dyDescent="0.55000000000000004">
      <c r="C10" s="185" t="s">
        <v>23</v>
      </c>
      <c r="D10" s="177">
        <f>AVERAGE(D7,D9)</f>
        <v>2.1999999999999999E-2</v>
      </c>
      <c r="E10" s="177">
        <f>AVERAGE(E7,E9)</f>
        <v>0.31</v>
      </c>
      <c r="H10" s="185" t="s">
        <v>23</v>
      </c>
      <c r="I10" s="177">
        <f>AVERAGE(I7,I9)</f>
        <v>1.42</v>
      </c>
      <c r="J10" s="177">
        <f>AVERAGE(J7,J9)</f>
        <v>-21.810000000000002</v>
      </c>
    </row>
    <row r="13" spans="3:13" x14ac:dyDescent="0.55000000000000004">
      <c r="C13" s="10" t="s">
        <v>85</v>
      </c>
    </row>
    <row r="14" spans="3:13" x14ac:dyDescent="0.55000000000000004">
      <c r="C14" s="283" t="s">
        <v>341</v>
      </c>
      <c r="D14" s="284"/>
      <c r="E14" s="284"/>
      <c r="F14" s="284"/>
      <c r="G14" s="284"/>
      <c r="H14" s="284"/>
      <c r="I14" s="284"/>
      <c r="J14" s="284"/>
      <c r="K14" s="284"/>
      <c r="L14" s="284"/>
      <c r="M14" s="284"/>
    </row>
    <row r="16" spans="3:13" x14ac:dyDescent="0.55000000000000004">
      <c r="C16" s="10" t="s">
        <v>342</v>
      </c>
    </row>
    <row r="17" spans="3:13" ht="32.4" customHeight="1" x14ac:dyDescent="0.55000000000000004">
      <c r="C17" s="275" t="s">
        <v>343</v>
      </c>
      <c r="D17" s="275"/>
      <c r="E17" s="275"/>
      <c r="F17" s="275"/>
      <c r="G17" s="275"/>
      <c r="H17" s="275"/>
      <c r="I17" s="275"/>
      <c r="J17" s="275"/>
      <c r="K17" s="275"/>
      <c r="L17" s="275"/>
      <c r="M17" s="275"/>
    </row>
    <row r="19" spans="3:13" ht="54.3" customHeight="1" x14ac:dyDescent="0.55000000000000004">
      <c r="D19" s="286" t="s">
        <v>590</v>
      </c>
      <c r="E19" s="286"/>
      <c r="F19" s="286"/>
      <c r="H19" s="288" t="s">
        <v>362</v>
      </c>
      <c r="I19" s="289"/>
      <c r="J19" s="290"/>
    </row>
    <row r="20" spans="3:13" ht="57.6" x14ac:dyDescent="0.55000000000000004">
      <c r="D20" s="172" t="s">
        <v>337</v>
      </c>
      <c r="E20" s="172" t="s">
        <v>360</v>
      </c>
      <c r="F20" s="172" t="s">
        <v>361</v>
      </c>
      <c r="H20" s="172" t="s">
        <v>337</v>
      </c>
      <c r="I20" s="172" t="s">
        <v>360</v>
      </c>
      <c r="J20" s="172" t="s">
        <v>361</v>
      </c>
    </row>
    <row r="21" spans="3:13" x14ac:dyDescent="0.55000000000000004">
      <c r="D21" s="185" t="s">
        <v>3</v>
      </c>
      <c r="E21" s="185">
        <v>3.6900000000000002E-2</v>
      </c>
      <c r="F21" s="185">
        <f>0.559*1000</f>
        <v>559</v>
      </c>
      <c r="H21" s="185" t="s">
        <v>363</v>
      </c>
      <c r="I21" s="185">
        <v>2.5000000000000001E-2</v>
      </c>
      <c r="J21" s="185">
        <f>0.16*1000</f>
        <v>160</v>
      </c>
    </row>
    <row r="26" spans="3:13" ht="65.400000000000006" customHeight="1" x14ac:dyDescent="0.55000000000000004">
      <c r="D26" s="285" t="s">
        <v>359</v>
      </c>
      <c r="E26" s="285"/>
      <c r="F26" s="285"/>
      <c r="I26" s="287" t="s">
        <v>572</v>
      </c>
      <c r="J26" s="287"/>
      <c r="L26" s="287" t="s">
        <v>588</v>
      </c>
      <c r="M26" s="287"/>
    </row>
    <row r="27" spans="3:13" ht="72" x14ac:dyDescent="0.55000000000000004">
      <c r="E27" s="21" t="s">
        <v>592</v>
      </c>
      <c r="F27" s="21" t="s">
        <v>593</v>
      </c>
      <c r="I27" s="21" t="s">
        <v>594</v>
      </c>
      <c r="J27" s="21" t="s">
        <v>595</v>
      </c>
      <c r="L27" s="21" t="s">
        <v>594</v>
      </c>
      <c r="M27" s="21" t="s">
        <v>595</v>
      </c>
    </row>
    <row r="28" spans="3:13" x14ac:dyDescent="0.55000000000000004">
      <c r="D28" t="s">
        <v>3</v>
      </c>
      <c r="E28">
        <v>6.6000000000000003E-2</v>
      </c>
      <c r="F28" s="7">
        <f>0.96*1000</f>
        <v>960</v>
      </c>
      <c r="H28" t="s">
        <v>3</v>
      </c>
      <c r="I28" s="1">
        <v>0.91</v>
      </c>
      <c r="J28" s="131">
        <f>14.8*1000</f>
        <v>14800</v>
      </c>
      <c r="L28" s="5">
        <f>I28-0.082</f>
        <v>0.82800000000000007</v>
      </c>
      <c r="M28" s="8">
        <f>J28-1190</f>
        <v>13610</v>
      </c>
    </row>
    <row r="29" spans="3:13" x14ac:dyDescent="0.55000000000000004">
      <c r="D29" t="s">
        <v>1</v>
      </c>
      <c r="E29">
        <v>7.9000000000000001E-2</v>
      </c>
      <c r="F29" s="7">
        <f>1.206*1000</f>
        <v>1206</v>
      </c>
      <c r="H29" t="s">
        <v>1</v>
      </c>
      <c r="I29" s="1">
        <v>0.56000000000000005</v>
      </c>
      <c r="J29" s="131">
        <f>8.69*1000</f>
        <v>8690</v>
      </c>
      <c r="L29">
        <f>I29-0.1</f>
        <v>0.46000000000000008</v>
      </c>
      <c r="M29" s="8">
        <f>J29-1520</f>
        <v>7170</v>
      </c>
    </row>
    <row r="30" spans="3:13" x14ac:dyDescent="0.55000000000000004">
      <c r="D30" t="s">
        <v>2</v>
      </c>
      <c r="E30">
        <v>8.8999999999999996E-2</v>
      </c>
      <c r="F30" s="7">
        <f>1.333*1000</f>
        <v>1333</v>
      </c>
      <c r="H30" t="s">
        <v>2</v>
      </c>
      <c r="I30" s="1">
        <v>0.53</v>
      </c>
      <c r="J30" s="131">
        <f>8.89*1000</f>
        <v>8890</v>
      </c>
      <c r="L30">
        <f>I30-0.11</f>
        <v>0.42000000000000004</v>
      </c>
      <c r="M30" s="8">
        <f>J30-1640</f>
        <v>7250</v>
      </c>
    </row>
    <row r="31" spans="3:13" x14ac:dyDescent="0.55000000000000004">
      <c r="F31" s="7"/>
      <c r="H31" t="s">
        <v>23</v>
      </c>
      <c r="I31" s="1" t="s">
        <v>4</v>
      </c>
      <c r="J31" s="1" t="s">
        <v>4</v>
      </c>
      <c r="L31" s="5">
        <f>AVERAGE(L29:L30)</f>
        <v>0.44000000000000006</v>
      </c>
      <c r="M31" s="7">
        <f>AVERAGE(M29:M30)</f>
        <v>7210</v>
      </c>
    </row>
    <row r="33" spans="4:13" ht="42.6" customHeight="1" x14ac:dyDescent="0.55000000000000004">
      <c r="D33" s="281" t="s">
        <v>591</v>
      </c>
      <c r="E33" s="281"/>
      <c r="F33" s="281"/>
      <c r="H33" s="281" t="s">
        <v>591</v>
      </c>
      <c r="I33" s="281"/>
      <c r="J33" s="281"/>
      <c r="L33" s="281" t="s">
        <v>591</v>
      </c>
      <c r="M33" s="281"/>
    </row>
    <row r="34" spans="4:13" x14ac:dyDescent="0.55000000000000004">
      <c r="I34" s="190"/>
    </row>
  </sheetData>
  <mergeCells count="12">
    <mergeCell ref="L33:M33"/>
    <mergeCell ref="C3:E3"/>
    <mergeCell ref="H3:J3"/>
    <mergeCell ref="C14:M14"/>
    <mergeCell ref="C17:M17"/>
    <mergeCell ref="D26:F26"/>
    <mergeCell ref="D19:F19"/>
    <mergeCell ref="I26:J26"/>
    <mergeCell ref="L26:M26"/>
    <mergeCell ref="H19:J19"/>
    <mergeCell ref="D33:F33"/>
    <mergeCell ref="H33:J33"/>
  </mergeCells>
  <hyperlinks>
    <hyperlink ref="C14" r:id="rId1" xr:uid="{8CAAA905-E9F1-4CBA-AA6F-3F7091B18E6E}"/>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86BC9-EEF6-46D3-B0F7-C0B0EE44DD69}">
  <dimension ref="A1:W81"/>
  <sheetViews>
    <sheetView tabSelected="1" topLeftCell="A34" zoomScale="80" zoomScaleNormal="80" workbookViewId="0">
      <selection activeCell="P25" sqref="P25"/>
    </sheetView>
  </sheetViews>
  <sheetFormatPr defaultRowHeight="14.4" x14ac:dyDescent="0.55000000000000004"/>
  <cols>
    <col min="1" max="1" width="72.7890625" style="122" customWidth="1"/>
    <col min="2" max="2" width="14" customWidth="1"/>
    <col min="3" max="3" width="12.20703125" customWidth="1"/>
    <col min="7" max="7" width="10.7890625" bestFit="1" customWidth="1"/>
    <col min="8" max="8" width="55.5234375" bestFit="1" customWidth="1"/>
    <col min="9" max="9" width="21" customWidth="1"/>
    <col min="10" max="10" width="65.3125" customWidth="1"/>
    <col min="12" max="12" width="10.89453125" customWidth="1"/>
    <col min="13" max="13" width="10.20703125" bestFit="1" customWidth="1"/>
    <col min="16" max="16" width="11.1015625" bestFit="1" customWidth="1"/>
    <col min="17" max="17" width="28.41796875" customWidth="1"/>
    <col min="18" max="18" width="11.89453125" customWidth="1"/>
    <col min="19" max="19" width="10.89453125" bestFit="1" customWidth="1"/>
    <col min="21" max="21" width="29.68359375" bestFit="1" customWidth="1"/>
    <col min="22" max="22" width="25.20703125" bestFit="1" customWidth="1"/>
    <col min="24" max="24" width="12" bestFit="1" customWidth="1"/>
  </cols>
  <sheetData>
    <row r="1" spans="1:23" x14ac:dyDescent="0.55000000000000004">
      <c r="C1" s="10" t="s">
        <v>162</v>
      </c>
    </row>
    <row r="2" spans="1:23" ht="28.8" x14ac:dyDescent="0.55000000000000004">
      <c r="A2" s="170" t="s">
        <v>596</v>
      </c>
      <c r="B2" s="7">
        <v>4073.1</v>
      </c>
      <c r="C2" s="295" t="s">
        <v>85</v>
      </c>
      <c r="I2" s="21" t="s">
        <v>587</v>
      </c>
      <c r="J2" s="10" t="s">
        <v>162</v>
      </c>
    </row>
    <row r="3" spans="1:23" x14ac:dyDescent="0.55000000000000004">
      <c r="A3" s="122" t="s">
        <v>597</v>
      </c>
      <c r="B3" s="7">
        <v>83799</v>
      </c>
      <c r="C3" s="295"/>
      <c r="G3" s="8"/>
      <c r="H3" t="s">
        <v>189</v>
      </c>
      <c r="I3" s="138">
        <f>B12*B10*10^6</f>
        <v>319204.91598176758</v>
      </c>
      <c r="L3" s="8"/>
      <c r="Q3" s="8"/>
    </row>
    <row r="4" spans="1:23" ht="14.7" thickBot="1" x14ac:dyDescent="0.6">
      <c r="A4" s="140" t="s">
        <v>598</v>
      </c>
      <c r="B4" s="139">
        <f>B2/B3</f>
        <v>4.8605591952171269E-2</v>
      </c>
      <c r="F4" s="107"/>
    </row>
    <row r="5" spans="1:23" ht="39.6" customHeight="1" thickBot="1" x14ac:dyDescent="0.6">
      <c r="F5" s="13"/>
      <c r="G5" s="107"/>
      <c r="H5" s="106" t="s">
        <v>190</v>
      </c>
      <c r="I5" s="113">
        <f>B36*I3</f>
        <v>39598.000473995889</v>
      </c>
      <c r="N5" s="11"/>
      <c r="R5" s="21" t="s">
        <v>285</v>
      </c>
      <c r="S5" s="9" t="s">
        <v>428</v>
      </c>
      <c r="V5" s="21" t="s">
        <v>353</v>
      </c>
    </row>
    <row r="6" spans="1:23" x14ac:dyDescent="0.55000000000000004">
      <c r="A6" s="122" t="s">
        <v>599</v>
      </c>
      <c r="B6" s="7">
        <v>46989</v>
      </c>
      <c r="C6" s="294" t="s">
        <v>85</v>
      </c>
      <c r="F6" s="13"/>
      <c r="G6" s="107"/>
      <c r="H6" s="194" t="s">
        <v>407</v>
      </c>
      <c r="I6" s="195">
        <f>I69</f>
        <v>5363.6563638646812</v>
      </c>
      <c r="Q6" t="s">
        <v>404</v>
      </c>
      <c r="R6" s="8">
        <f>I3*'Virgin Resins_LCIA'!E4</f>
        <v>711826.96263934171</v>
      </c>
      <c r="U6" t="s">
        <v>405</v>
      </c>
      <c r="V6" s="8">
        <f>I3*'Virgin Resins_LCIA'!F4</f>
        <v>19599181841.280529</v>
      </c>
    </row>
    <row r="7" spans="1:23" ht="14.7" thickBot="1" x14ac:dyDescent="0.6">
      <c r="A7" s="122" t="s">
        <v>600</v>
      </c>
      <c r="B7" s="7">
        <v>655529</v>
      </c>
      <c r="C7" s="294"/>
      <c r="G7" s="107"/>
      <c r="H7" s="118" t="s">
        <v>181</v>
      </c>
      <c r="I7" s="116">
        <f>(I5+I6)*0.022</f>
        <v>989.1564504329325</v>
      </c>
      <c r="J7" s="110">
        <v>2.1999999999999999E-2</v>
      </c>
      <c r="P7" s="8"/>
      <c r="Q7" t="s">
        <v>180</v>
      </c>
      <c r="R7" s="272">
        <f>(I5+I6-I7)*'Semi-mfg._LCIA'!E6</f>
        <v>54965.625484284552</v>
      </c>
      <c r="S7" s="107">
        <f>(I5+I6-I7)</f>
        <v>43972.500387427644</v>
      </c>
      <c r="U7" t="s">
        <v>180</v>
      </c>
      <c r="V7" s="7">
        <f>(I5+I6-I7)*('Semi-mfg._LCIA'!F6*1000)</f>
        <v>1354353011.9327714</v>
      </c>
    </row>
    <row r="8" spans="1:23" ht="14.7" thickBot="1" x14ac:dyDescent="0.6">
      <c r="A8" s="140" t="s">
        <v>602</v>
      </c>
      <c r="B8" s="139">
        <f>B6/B7</f>
        <v>7.168103928277772E-2</v>
      </c>
      <c r="G8" s="107"/>
      <c r="H8" s="106" t="s">
        <v>191</v>
      </c>
      <c r="I8" s="113">
        <f>B35*I3</f>
        <v>279606.91550777172</v>
      </c>
      <c r="Q8" t="s">
        <v>335</v>
      </c>
      <c r="R8" s="272">
        <f>(I8+I9-I10)*'Semi-mfg._LCIA'!E16</f>
        <v>203787.1951961795</v>
      </c>
      <c r="S8" s="8">
        <f>(I8+I9-I10)</f>
        <v>310178.3792940327</v>
      </c>
      <c r="U8" t="s">
        <v>335</v>
      </c>
      <c r="V8" s="8">
        <f>(I8+I9-I10)*('Semi-mfg._LCIA'!F16*1000)</f>
        <v>5583210827.2925882</v>
      </c>
    </row>
    <row r="9" spans="1:23" x14ac:dyDescent="0.55000000000000004">
      <c r="H9" s="194" t="s">
        <v>409</v>
      </c>
      <c r="I9" s="195">
        <f>I70</f>
        <v>37873.513657051975</v>
      </c>
    </row>
    <row r="10" spans="1:23" x14ac:dyDescent="0.55000000000000004">
      <c r="A10" s="141" t="s">
        <v>603</v>
      </c>
      <c r="B10" s="142">
        <f>AVERAGE(B4,B8)</f>
        <v>6.0143315617474491E-2</v>
      </c>
      <c r="H10" s="118" t="s">
        <v>86</v>
      </c>
      <c r="I10" s="7">
        <f>(I8+I9)*0.023</f>
        <v>7302.0498707909446</v>
      </c>
      <c r="J10" s="110">
        <v>2.3E-2</v>
      </c>
      <c r="Q10" t="s">
        <v>275</v>
      </c>
      <c r="R10" s="272">
        <f>(I13+I51+I56+I65+I17)*EOL_LCIA!D5</f>
        <v>2869.5377618178468</v>
      </c>
      <c r="S10" s="8">
        <f>(I13+I51+I56+I65+I17)</f>
        <v>130433.53462808396</v>
      </c>
      <c r="U10" t="s">
        <v>275</v>
      </c>
      <c r="V10" s="8">
        <f>(I13+I51+I56+I65+I17)*(EOL_LCIA!E5*1000)</f>
        <v>40434395.734706029</v>
      </c>
    </row>
    <row r="11" spans="1:23" x14ac:dyDescent="0.55000000000000004">
      <c r="G11" s="8"/>
      <c r="H11" s="118"/>
      <c r="I11" s="116"/>
      <c r="J11" s="110"/>
      <c r="Q11" s="122" t="s">
        <v>276</v>
      </c>
      <c r="R11" s="272">
        <f>(I14+I52+I57+I66+I18)*EOL_LCIA!I5</f>
        <v>3674.6329950955965</v>
      </c>
      <c r="S11" s="8">
        <f>(I14+I52+I57+I66+I18)</f>
        <v>2682.2138650332818</v>
      </c>
      <c r="U11" s="122" t="s">
        <v>276</v>
      </c>
      <c r="V11" s="8">
        <f>(I14+I52+I57+I66+I18)*(EOL_LCIA!J5*1000)</f>
        <v>-31167325.111686733</v>
      </c>
    </row>
    <row r="12" spans="1:23" x14ac:dyDescent="0.55000000000000004">
      <c r="A12" s="122" t="s">
        <v>301</v>
      </c>
      <c r="B12" s="137">
        <v>5.3074047000000011</v>
      </c>
      <c r="C12" t="s">
        <v>161</v>
      </c>
      <c r="G12" s="8"/>
      <c r="H12" s="2" t="s">
        <v>115</v>
      </c>
      <c r="I12" s="7">
        <f>I7+I10</f>
        <v>8291.2063212238772</v>
      </c>
      <c r="J12" s="110"/>
      <c r="Q12" t="s">
        <v>283</v>
      </c>
      <c r="R12" s="11">
        <f>I30*EOL_LCIA!E21</f>
        <v>974.8626339330001</v>
      </c>
      <c r="S12" s="8">
        <f>I30</f>
        <v>26419.041570000001</v>
      </c>
      <c r="U12" t="s">
        <v>283</v>
      </c>
      <c r="V12" s="8">
        <f>I30*EOL_LCIA!F21</f>
        <v>14768244.23763</v>
      </c>
    </row>
    <row r="13" spans="1:23" ht="14.7" thickBot="1" x14ac:dyDescent="0.6">
      <c r="G13" s="8"/>
      <c r="H13" s="118" t="s">
        <v>120</v>
      </c>
      <c r="I13" s="7">
        <f>(0.86*I12)</f>
        <v>7130.4374362525341</v>
      </c>
      <c r="J13" s="110" t="s">
        <v>573</v>
      </c>
      <c r="Q13" t="s">
        <v>277</v>
      </c>
      <c r="R13" s="11">
        <f>(I54-I55)*EOL_LCIA!E28</f>
        <v>1982.6493978278465</v>
      </c>
      <c r="S13" s="8">
        <f>(I54-I55)</f>
        <v>30040.142391331006</v>
      </c>
      <c r="U13" t="s">
        <v>277</v>
      </c>
      <c r="V13" s="8">
        <f>(I54-I55)*EOL_LCIA!F28</f>
        <v>28838536.695677765</v>
      </c>
    </row>
    <row r="14" spans="1:23" ht="14.7" thickBot="1" x14ac:dyDescent="0.6">
      <c r="A14" s="120" t="s">
        <v>604</v>
      </c>
      <c r="B14" s="113">
        <v>36990</v>
      </c>
      <c r="C14" s="294" t="s">
        <v>85</v>
      </c>
      <c r="G14" s="11"/>
      <c r="H14" s="118" t="s">
        <v>22</v>
      </c>
      <c r="I14" s="116">
        <f>(0.02*I12)</f>
        <v>165.82412642447756</v>
      </c>
      <c r="J14" s="110" t="s">
        <v>573</v>
      </c>
      <c r="P14" s="8"/>
      <c r="Q14" t="s">
        <v>199</v>
      </c>
      <c r="R14" s="11">
        <f>(I16*(EOL_LCIA!I28/2))+(I68*EOL_LCIA!L28)</f>
        <v>36207.806655943939</v>
      </c>
      <c r="S14" s="8">
        <f>I16+I68</f>
        <v>44132.620303608841</v>
      </c>
      <c r="U14" t="s">
        <v>199</v>
      </c>
      <c r="V14" s="8">
        <f>I16*(EOL_LCIA!J28/2)+(I68*EOL_LCIA!M28)</f>
        <v>595084216.07659793</v>
      </c>
    </row>
    <row r="15" spans="1:23" ht="14.7" thickBot="1" x14ac:dyDescent="0.6">
      <c r="A15" s="120" t="s">
        <v>605</v>
      </c>
      <c r="B15" s="113">
        <v>386178</v>
      </c>
      <c r="C15" s="294"/>
      <c r="H15" s="118" t="s">
        <v>346</v>
      </c>
      <c r="I15" s="8">
        <f>0.12*I12</f>
        <v>994.94475854686527</v>
      </c>
      <c r="J15" s="110" t="s">
        <v>573</v>
      </c>
      <c r="Q15" t="s">
        <v>379</v>
      </c>
      <c r="R15" s="272">
        <f>(0.897*10^6)*B63</f>
        <v>12613.064946619219</v>
      </c>
      <c r="U15" t="s">
        <v>379</v>
      </c>
      <c r="V15" s="7">
        <f>(12*10^9)*B63</f>
        <v>168736654.80427048</v>
      </c>
    </row>
    <row r="16" spans="1:23" ht="72.3" thickBot="1" x14ac:dyDescent="0.6">
      <c r="A16" s="121" t="s">
        <v>623</v>
      </c>
      <c r="B16" s="111">
        <f>B14/B15</f>
        <v>9.578484533039168E-2</v>
      </c>
      <c r="H16" s="118" t="s">
        <v>347</v>
      </c>
      <c r="I16" s="188">
        <f>0.9*I15</f>
        <v>895.4502826921788</v>
      </c>
      <c r="J16" s="170" t="s">
        <v>478</v>
      </c>
      <c r="Q16" s="291" t="s">
        <v>261</v>
      </c>
      <c r="R16" s="8">
        <f>R7+R8+R10+R11+R12+R13+R14+R15</f>
        <v>317075.37507170148</v>
      </c>
      <c r="S16" t="s">
        <v>286</v>
      </c>
      <c r="U16" s="291" t="s">
        <v>261</v>
      </c>
      <c r="V16" s="8">
        <f>V7+V8+V10+V11+V12+V13+V14+V15</f>
        <v>7754258561.6625557</v>
      </c>
      <c r="W16" t="s">
        <v>354</v>
      </c>
    </row>
    <row r="17" spans="1:23" ht="14.7" thickBot="1" x14ac:dyDescent="0.6">
      <c r="A17" s="120"/>
      <c r="B17" s="106"/>
      <c r="G17" s="8"/>
      <c r="H17" s="118" t="s">
        <v>120</v>
      </c>
      <c r="I17" s="188">
        <f>(0.98*0.1*I15)</f>
        <v>97.504586337592798</v>
      </c>
      <c r="J17" t="s">
        <v>293</v>
      </c>
      <c r="Q17" s="291"/>
      <c r="R17" s="204">
        <f>R16/10^6</f>
        <v>0.31707537507170147</v>
      </c>
      <c r="S17" t="s">
        <v>287</v>
      </c>
      <c r="U17" s="291"/>
      <c r="V17" s="11">
        <f>V16/(10^9)</f>
        <v>7.7542585616625557</v>
      </c>
      <c r="W17" t="s">
        <v>356</v>
      </c>
    </row>
    <row r="18" spans="1:23" ht="24.9" thickBot="1" x14ac:dyDescent="0.6">
      <c r="A18" s="224" t="s">
        <v>607</v>
      </c>
      <c r="B18" s="113">
        <v>9608</v>
      </c>
      <c r="C18" s="3" t="s">
        <v>85</v>
      </c>
      <c r="E18" s="168"/>
      <c r="H18" s="118" t="s">
        <v>22</v>
      </c>
      <c r="I18" s="188">
        <f>(0.02*0.1*I15)</f>
        <v>1.9898895170937305</v>
      </c>
      <c r="J18" t="s">
        <v>293</v>
      </c>
    </row>
    <row r="19" spans="1:23" ht="24.9" thickBot="1" x14ac:dyDescent="0.6">
      <c r="A19" s="120" t="s">
        <v>608</v>
      </c>
      <c r="B19" s="113">
        <v>124940</v>
      </c>
      <c r="C19" s="3" t="s">
        <v>85</v>
      </c>
      <c r="H19" t="s">
        <v>264</v>
      </c>
      <c r="I19" s="7">
        <f>'Trade Data'!F85/1000</f>
        <v>4715.2860600000004</v>
      </c>
      <c r="U19" t="s">
        <v>355</v>
      </c>
      <c r="V19">
        <v>3039</v>
      </c>
      <c r="W19" t="s">
        <v>356</v>
      </c>
    </row>
    <row r="20" spans="1:23" ht="14.7" thickBot="1" x14ac:dyDescent="0.6">
      <c r="A20" s="121" t="s">
        <v>624</v>
      </c>
      <c r="B20" s="111">
        <f>B18/B19</f>
        <v>7.6900912437970231E-2</v>
      </c>
      <c r="H20" t="s">
        <v>265</v>
      </c>
      <c r="I20" s="7">
        <f>'Trade Data'!D85/1000</f>
        <v>559.01856999999995</v>
      </c>
      <c r="Q20" t="s">
        <v>352</v>
      </c>
      <c r="R20">
        <v>22.88</v>
      </c>
      <c r="S20" t="s">
        <v>287</v>
      </c>
      <c r="U20" t="s">
        <v>357</v>
      </c>
      <c r="V20" s="116">
        <v>744.02538730000003</v>
      </c>
      <c r="W20" t="s">
        <v>356</v>
      </c>
    </row>
    <row r="21" spans="1:23" ht="14.7" thickBot="1" x14ac:dyDescent="0.6">
      <c r="A21" s="120"/>
      <c r="B21" s="106"/>
      <c r="H21" t="s">
        <v>185</v>
      </c>
      <c r="I21" s="8">
        <f>I19-I20</f>
        <v>4156.2674900000002</v>
      </c>
      <c r="J21" t="s">
        <v>186</v>
      </c>
      <c r="Q21" t="s">
        <v>350</v>
      </c>
      <c r="R21">
        <v>190.89</v>
      </c>
      <c r="S21" t="s">
        <v>287</v>
      </c>
    </row>
    <row r="22" spans="1:23" ht="14.7" thickBot="1" x14ac:dyDescent="0.6">
      <c r="A22" s="121" t="s">
        <v>169</v>
      </c>
      <c r="B22" s="143">
        <f>AVERAGE(B16,B20)</f>
        <v>8.6342878884180962E-2</v>
      </c>
      <c r="H22" t="s">
        <v>187</v>
      </c>
      <c r="I22" s="8">
        <f>I5+I8-I12+I19+I6+I9</f>
        <v>358866.16574146034</v>
      </c>
      <c r="U22" t="s">
        <v>373</v>
      </c>
      <c r="V22">
        <v>512.9</v>
      </c>
      <c r="W22" t="s">
        <v>356</v>
      </c>
    </row>
    <row r="23" spans="1:23" ht="14.7" thickBot="1" x14ac:dyDescent="0.6">
      <c r="A23" s="120"/>
      <c r="B23" s="106"/>
      <c r="G23" s="8"/>
      <c r="H23" t="s">
        <v>188</v>
      </c>
      <c r="I23" s="8">
        <f>I20+I50</f>
        <v>171928.90248068733</v>
      </c>
      <c r="Q23" t="s">
        <v>349</v>
      </c>
      <c r="R23" s="164">
        <f>R17/R20</f>
        <v>1.3858189469917024E-2</v>
      </c>
    </row>
    <row r="24" spans="1:23" ht="24.9" thickBot="1" x14ac:dyDescent="0.6">
      <c r="A24" s="120" t="s">
        <v>609</v>
      </c>
      <c r="B24" s="112">
        <v>426</v>
      </c>
      <c r="C24" s="3" t="s">
        <v>85</v>
      </c>
      <c r="H24" t="s">
        <v>192</v>
      </c>
      <c r="I24" s="8">
        <f>I22-I23</f>
        <v>186937.263260773</v>
      </c>
      <c r="L24" s="8"/>
      <c r="Q24" t="s">
        <v>351</v>
      </c>
      <c r="R24" s="164">
        <f>R17/R21</f>
        <v>1.6610371159919404E-3</v>
      </c>
      <c r="U24" t="s">
        <v>349</v>
      </c>
      <c r="V24" s="164">
        <f>V17/V22</f>
        <v>1.5118460833812743E-2</v>
      </c>
    </row>
    <row r="25" spans="1:23" ht="14.7" thickBot="1" x14ac:dyDescent="0.6">
      <c r="A25" s="120" t="s">
        <v>610</v>
      </c>
      <c r="B25" s="113">
        <v>33312</v>
      </c>
      <c r="C25" s="3" t="s">
        <v>85</v>
      </c>
      <c r="U25" t="s">
        <v>384</v>
      </c>
      <c r="V25" s="164">
        <f>V17/V19</f>
        <v>2.5515822841930096E-3</v>
      </c>
    </row>
    <row r="26" spans="1:23" ht="14.7" thickBot="1" x14ac:dyDescent="0.6">
      <c r="A26" s="121" t="s">
        <v>625</v>
      </c>
      <c r="B26" s="111">
        <f>B24/B25</f>
        <v>1.2788184438040346E-2</v>
      </c>
      <c r="H26" s="292" t="s">
        <v>87</v>
      </c>
      <c r="I26" s="292"/>
      <c r="J26" s="292"/>
      <c r="L26" s="8"/>
      <c r="M26" s="114"/>
      <c r="N26" s="8"/>
      <c r="U26" t="s">
        <v>385</v>
      </c>
      <c r="V26" s="164">
        <f>V17/V20</f>
        <v>1.0422034911741452E-2</v>
      </c>
    </row>
    <row r="27" spans="1:23" ht="14.7" thickBot="1" x14ac:dyDescent="0.6">
      <c r="A27" s="120"/>
      <c r="B27" s="106"/>
      <c r="G27" s="13"/>
      <c r="H27" s="10" t="s">
        <v>97</v>
      </c>
      <c r="K27" s="8"/>
      <c r="L27" s="8"/>
      <c r="R27" s="7"/>
    </row>
    <row r="28" spans="1:23" ht="24.9" thickBot="1" x14ac:dyDescent="0.6">
      <c r="A28" s="120" t="s">
        <v>611</v>
      </c>
      <c r="B28" s="112">
        <v>164</v>
      </c>
      <c r="C28" s="3" t="s">
        <v>85</v>
      </c>
      <c r="G28" s="7"/>
      <c r="H28" t="s">
        <v>89</v>
      </c>
      <c r="I28" s="146">
        <f>57850*B70</f>
        <v>52480.652249999999</v>
      </c>
      <c r="J28" t="s">
        <v>88</v>
      </c>
      <c r="L28" s="8"/>
      <c r="P28" s="8"/>
    </row>
    <row r="29" spans="1:23" ht="14.7" thickBot="1" x14ac:dyDescent="0.6">
      <c r="A29" s="120" t="s">
        <v>612</v>
      </c>
      <c r="B29" s="113">
        <v>14056</v>
      </c>
      <c r="C29" s="3" t="s">
        <v>85</v>
      </c>
      <c r="G29" s="13"/>
      <c r="H29" t="s">
        <v>193</v>
      </c>
      <c r="I29" s="146">
        <f>64200*B70</f>
        <v>58241.277000000002</v>
      </c>
      <c r="J29" t="s">
        <v>88</v>
      </c>
      <c r="L29" s="13"/>
      <c r="P29" s="11"/>
    </row>
    <row r="30" spans="1:23" ht="14.7" thickBot="1" x14ac:dyDescent="0.6">
      <c r="A30" s="121" t="s">
        <v>626</v>
      </c>
      <c r="B30" s="111">
        <f>B28/B29</f>
        <v>1.1667615253272624E-2</v>
      </c>
      <c r="G30" s="13"/>
      <c r="H30" s="118" t="s">
        <v>194</v>
      </c>
      <c r="I30" s="7">
        <f>29122*B70</f>
        <v>26419.041570000001</v>
      </c>
      <c r="J30" t="s">
        <v>88</v>
      </c>
      <c r="V30" s="8"/>
    </row>
    <row r="31" spans="1:23" ht="14.7" thickBot="1" x14ac:dyDescent="0.6">
      <c r="A31" s="120"/>
      <c r="B31" s="106"/>
      <c r="H31" s="118" t="s">
        <v>195</v>
      </c>
      <c r="I31" s="7">
        <f>I29-I30</f>
        <v>31822.235430000001</v>
      </c>
      <c r="J31" t="s">
        <v>88</v>
      </c>
      <c r="L31" s="8"/>
      <c r="M31" s="13"/>
      <c r="R31" s="247"/>
      <c r="S31" s="204"/>
      <c r="U31" s="200"/>
      <c r="V31" s="200"/>
    </row>
    <row r="32" spans="1:23" ht="14.7" thickBot="1" x14ac:dyDescent="0.6">
      <c r="A32" s="121" t="s">
        <v>170</v>
      </c>
      <c r="B32" s="143">
        <f>AVERAGE(B26,B30)</f>
        <v>1.2227899845656486E-2</v>
      </c>
      <c r="H32" t="s">
        <v>90</v>
      </c>
      <c r="I32" s="8">
        <f>(I28/0.98)*0.02</f>
        <v>1071.0337193877551</v>
      </c>
      <c r="J32" t="s">
        <v>293</v>
      </c>
      <c r="L32" s="8"/>
      <c r="M32" s="114"/>
      <c r="R32" s="11"/>
    </row>
    <row r="33" spans="1:12" ht="14.7" thickBot="1" x14ac:dyDescent="0.6">
      <c r="F33" s="8"/>
      <c r="H33" t="s">
        <v>196</v>
      </c>
      <c r="I33" s="8">
        <f>I28+I29+I32</f>
        <v>111792.96296938775</v>
      </c>
    </row>
    <row r="34" spans="1:12" ht="37.200000000000003" customHeight="1" thickBot="1" x14ac:dyDescent="0.6">
      <c r="A34" s="145" t="s">
        <v>613</v>
      </c>
      <c r="B34" s="106"/>
      <c r="G34" s="13"/>
      <c r="H34" t="s">
        <v>91</v>
      </c>
      <c r="I34" s="7">
        <f>'U.S. Post-consumer Waste Mgmt'!E34*'U.S. Post-consumer Waste Mgmt'!P19*1000</f>
        <v>20134.792725531814</v>
      </c>
      <c r="J34" t="s">
        <v>102</v>
      </c>
      <c r="L34" s="8"/>
    </row>
    <row r="35" spans="1:12" ht="14.7" thickBot="1" x14ac:dyDescent="0.6">
      <c r="A35" s="106" t="s">
        <v>179</v>
      </c>
      <c r="B35" s="144">
        <f>B22/(B22+B32)</f>
        <v>0.87594802432097363</v>
      </c>
      <c r="H35" s="117" t="s">
        <v>92</v>
      </c>
      <c r="I35" s="7">
        <f>'U.S. Post-consumer Waste Mgmt'!F34*'U.S. Post-consumer Waste Mgmt'!P19*1000</f>
        <v>1930.7335490235985</v>
      </c>
      <c r="J35" t="s">
        <v>102</v>
      </c>
    </row>
    <row r="36" spans="1:12" ht="14.7" thickBot="1" x14ac:dyDescent="0.6">
      <c r="A36" s="106" t="s">
        <v>180</v>
      </c>
      <c r="B36" s="144">
        <f>B32/(B22+B32)</f>
        <v>0.12405197567902637</v>
      </c>
      <c r="G36" s="13"/>
      <c r="H36" s="117" t="s">
        <v>93</v>
      </c>
      <c r="I36" s="7">
        <f>0.98*(I34-I35)</f>
        <v>17839.977992978049</v>
      </c>
      <c r="J36" t="s">
        <v>293</v>
      </c>
      <c r="L36" s="13"/>
    </row>
    <row r="37" spans="1:12" ht="14.7" thickBot="1" x14ac:dyDescent="0.6">
      <c r="H37" s="117" t="s">
        <v>94</v>
      </c>
      <c r="I37" s="7">
        <f>0.02*(I34-I35)</f>
        <v>364.08118353016425</v>
      </c>
      <c r="J37" t="s">
        <v>293</v>
      </c>
    </row>
    <row r="38" spans="1:12" ht="14.7" thickBot="1" x14ac:dyDescent="0.6">
      <c r="A38" s="106" t="s">
        <v>614</v>
      </c>
      <c r="B38" s="112">
        <v>14</v>
      </c>
      <c r="C38" s="293" t="s">
        <v>85</v>
      </c>
      <c r="H38" s="10" t="s">
        <v>98</v>
      </c>
      <c r="I38" s="8">
        <f>I33+I34</f>
        <v>131927.75569491956</v>
      </c>
    </row>
    <row r="39" spans="1:12" ht="14.7" thickBot="1" x14ac:dyDescent="0.6">
      <c r="A39" s="106" t="s">
        <v>615</v>
      </c>
      <c r="B39" s="112">
        <v>331</v>
      </c>
      <c r="C39" s="293"/>
      <c r="H39" s="117" t="s">
        <v>235</v>
      </c>
      <c r="I39" s="8">
        <f>I28+I36</f>
        <v>70320.630242978048</v>
      </c>
    </row>
    <row r="40" spans="1:12" ht="14.7" thickBot="1" x14ac:dyDescent="0.6">
      <c r="A40" s="121" t="s">
        <v>606</v>
      </c>
      <c r="B40" s="111">
        <f>B38/B39</f>
        <v>4.2296072507552872E-2</v>
      </c>
      <c r="C40" s="293"/>
      <c r="G40" s="8"/>
      <c r="H40" s="117" t="s">
        <v>236</v>
      </c>
      <c r="I40" s="8">
        <f>I32+I37</f>
        <v>1435.1149029179194</v>
      </c>
    </row>
    <row r="41" spans="1:12" ht="14.7" thickBot="1" x14ac:dyDescent="0.6">
      <c r="A41" s="106"/>
      <c r="B41" s="106"/>
      <c r="H41" s="117" t="s">
        <v>234</v>
      </c>
      <c r="I41" s="8">
        <f>I29+I35</f>
        <v>60172.010549023602</v>
      </c>
    </row>
    <row r="42" spans="1:12" ht="14.7" thickBot="1" x14ac:dyDescent="0.6">
      <c r="A42" s="106" t="s">
        <v>616</v>
      </c>
      <c r="B42" s="112">
        <v>1</v>
      </c>
      <c r="C42" s="293" t="s">
        <v>85</v>
      </c>
      <c r="H42" s="119" t="s">
        <v>99</v>
      </c>
      <c r="I42" s="7">
        <f>'U.S. Post-consumer Waste Mgmt'!F17*'U.S. Post-consumer Waste Mgmt'!P19*1000</f>
        <v>21238.069039259586</v>
      </c>
      <c r="J42" t="s">
        <v>101</v>
      </c>
    </row>
    <row r="43" spans="1:12" ht="14.7" thickBot="1" x14ac:dyDescent="0.6">
      <c r="A43" s="106" t="s">
        <v>617</v>
      </c>
      <c r="B43" s="112">
        <v>133</v>
      </c>
      <c r="C43" s="293"/>
      <c r="H43" s="118" t="s">
        <v>96</v>
      </c>
      <c r="I43" s="7">
        <f>0.98*I42</f>
        <v>20813.307658474394</v>
      </c>
      <c r="J43" t="s">
        <v>293</v>
      </c>
    </row>
    <row r="44" spans="1:12" ht="14.7" thickBot="1" x14ac:dyDescent="0.6">
      <c r="A44" s="121" t="s">
        <v>606</v>
      </c>
      <c r="B44" s="111">
        <f>B42/B43</f>
        <v>7.5187969924812026E-3</v>
      </c>
      <c r="C44" s="293"/>
      <c r="H44" s="118" t="s">
        <v>22</v>
      </c>
      <c r="I44" s="7">
        <f>0.02*I42</f>
        <v>424.7613807851917</v>
      </c>
      <c r="J44" t="s">
        <v>293</v>
      </c>
    </row>
    <row r="45" spans="1:12" ht="14.7" thickBot="1" x14ac:dyDescent="0.6"/>
    <row r="46" spans="1:12" ht="14.7" thickBot="1" x14ac:dyDescent="0.6">
      <c r="A46" s="106" t="s">
        <v>627</v>
      </c>
      <c r="B46" s="106"/>
      <c r="G46" s="8"/>
      <c r="H46" s="10" t="s">
        <v>100</v>
      </c>
      <c r="I46" s="7">
        <f>'U.S. Post-consumer Waste Mgmt'!F22*'U.S. Post-consumer Waste Mgmt'!P19*1000</f>
        <v>18204.059176508217</v>
      </c>
      <c r="J46" t="s">
        <v>101</v>
      </c>
    </row>
    <row r="47" spans="1:12" ht="14.7" thickBot="1" x14ac:dyDescent="0.6">
      <c r="A47" s="106" t="s">
        <v>165</v>
      </c>
      <c r="B47" s="115">
        <f>B40/(B40+B44)</f>
        <v>0.84906520747834013</v>
      </c>
      <c r="H47" s="118" t="s">
        <v>96</v>
      </c>
      <c r="I47" s="7">
        <f>0.98*I46</f>
        <v>17839.977992978052</v>
      </c>
      <c r="J47" t="s">
        <v>293</v>
      </c>
    </row>
    <row r="48" spans="1:12" ht="14.7" thickBot="1" x14ac:dyDescent="0.6">
      <c r="A48" s="106" t="s">
        <v>166</v>
      </c>
      <c r="B48" s="115">
        <f>B44/(B40+B44)</f>
        <v>0.15093479252165981</v>
      </c>
      <c r="H48" s="118" t="s">
        <v>22</v>
      </c>
      <c r="I48" s="7">
        <f>0.02*I46</f>
        <v>364.08118353016437</v>
      </c>
      <c r="J48" t="s">
        <v>293</v>
      </c>
    </row>
    <row r="50" spans="1:10" x14ac:dyDescent="0.55000000000000004">
      <c r="H50" s="119" t="s">
        <v>95</v>
      </c>
      <c r="I50" s="12">
        <f>I38+I42+I46</f>
        <v>171369.88391068735</v>
      </c>
    </row>
    <row r="51" spans="1:10" x14ac:dyDescent="0.55000000000000004">
      <c r="A51" s="122" t="s">
        <v>248</v>
      </c>
      <c r="B51" s="7">
        <f>'Trade Data'!D93/1000</f>
        <v>5317.835</v>
      </c>
      <c r="C51" t="s">
        <v>103</v>
      </c>
      <c r="H51" s="2" t="s">
        <v>255</v>
      </c>
      <c r="I51" s="8">
        <f>I39+I43+I47</f>
        <v>108973.91589443049</v>
      </c>
    </row>
    <row r="52" spans="1:10" x14ac:dyDescent="0.55000000000000004">
      <c r="A52" s="122" t="s">
        <v>249</v>
      </c>
      <c r="B52" s="13">
        <f>980*0.907185/B56</f>
        <v>0.45370370370370366</v>
      </c>
      <c r="H52" t="s">
        <v>256</v>
      </c>
      <c r="I52" s="8">
        <f>I40+I44+I48</f>
        <v>2223.9574672332756</v>
      </c>
    </row>
    <row r="53" spans="1:10" x14ac:dyDescent="0.55000000000000004">
      <c r="A53" s="122" t="s">
        <v>250</v>
      </c>
      <c r="B53" s="13">
        <f>50*0.907185/B56</f>
        <v>2.314814814814815E-2</v>
      </c>
      <c r="D53" s="114"/>
      <c r="H53" s="292" t="s">
        <v>198</v>
      </c>
      <c r="I53" s="292"/>
      <c r="J53" s="292"/>
    </row>
    <row r="54" spans="1:10" x14ac:dyDescent="0.55000000000000004">
      <c r="A54" s="122" t="s">
        <v>252</v>
      </c>
      <c r="B54" s="13">
        <f>1130*0.907185/B56</f>
        <v>0.52314814814814814</v>
      </c>
      <c r="H54" t="s">
        <v>107</v>
      </c>
      <c r="I54" s="8">
        <f>I31+I35</f>
        <v>33752.968979023601</v>
      </c>
    </row>
    <row r="55" spans="1:10" x14ac:dyDescent="0.55000000000000004">
      <c r="A55"/>
      <c r="B55" s="114">
        <f>SUM(B52:B54)</f>
        <v>1</v>
      </c>
      <c r="H55" s="14" t="s">
        <v>104</v>
      </c>
      <c r="I55" s="8">
        <f>I54*0.11</f>
        <v>3712.8265876925961</v>
      </c>
      <c r="J55" s="114">
        <v>0.11</v>
      </c>
    </row>
    <row r="56" spans="1:10" x14ac:dyDescent="0.55000000000000004">
      <c r="A56" s="122" t="s">
        <v>251</v>
      </c>
      <c r="B56" s="7">
        <f>(980+20+1110+50)*0.907185</f>
        <v>1959.5196000000001</v>
      </c>
      <c r="C56" t="s">
        <v>103</v>
      </c>
      <c r="H56" s="118" t="s">
        <v>105</v>
      </c>
      <c r="I56" s="8">
        <f>0.98*I55</f>
        <v>3638.5700559387442</v>
      </c>
      <c r="J56" t="s">
        <v>293</v>
      </c>
    </row>
    <row r="57" spans="1:10" x14ac:dyDescent="0.55000000000000004">
      <c r="A57"/>
      <c r="H57" s="118" t="s">
        <v>106</v>
      </c>
      <c r="I57" s="116">
        <f>0.02*I55</f>
        <v>74.256531753851931</v>
      </c>
      <c r="J57" t="s">
        <v>293</v>
      </c>
    </row>
    <row r="58" spans="1:10" x14ac:dyDescent="0.55000000000000004">
      <c r="A58"/>
      <c r="H58" t="s">
        <v>108</v>
      </c>
      <c r="I58" s="8">
        <f>I54-I55</f>
        <v>30040.142391331006</v>
      </c>
    </row>
    <row r="59" spans="1:10" x14ac:dyDescent="0.55000000000000004">
      <c r="A59" t="s">
        <v>379</v>
      </c>
      <c r="H59" t="s">
        <v>266</v>
      </c>
      <c r="I59">
        <v>0</v>
      </c>
      <c r="J59" t="s">
        <v>253</v>
      </c>
    </row>
    <row r="60" spans="1:10" x14ac:dyDescent="0.55000000000000004">
      <c r="A60" t="s">
        <v>380</v>
      </c>
      <c r="G60" s="8"/>
      <c r="H60" t="s">
        <v>267</v>
      </c>
      <c r="I60" s="8">
        <f>B52*B51</f>
        <v>2412.7214351851849</v>
      </c>
    </row>
    <row r="61" spans="1:10" x14ac:dyDescent="0.55000000000000004">
      <c r="A61" t="s">
        <v>381</v>
      </c>
      <c r="B61" s="7">
        <f>3161000*0.907185</f>
        <v>2867611.7850000001</v>
      </c>
      <c r="C61" t="s">
        <v>103</v>
      </c>
      <c r="D61" s="3" t="s">
        <v>85</v>
      </c>
    </row>
    <row r="62" spans="1:10" x14ac:dyDescent="0.55000000000000004">
      <c r="A62" t="s">
        <v>382</v>
      </c>
      <c r="B62" s="7">
        <f>(224.8*0.907185*10^6)</f>
        <v>203935188</v>
      </c>
      <c r="C62" t="s">
        <v>103</v>
      </c>
      <c r="D62" s="3" t="s">
        <v>85</v>
      </c>
      <c r="H62" s="292" t="s">
        <v>358</v>
      </c>
      <c r="I62" s="292"/>
      <c r="J62" s="292"/>
    </row>
    <row r="63" spans="1:10" x14ac:dyDescent="0.55000000000000004">
      <c r="A63" t="s">
        <v>383</v>
      </c>
      <c r="B63" s="190">
        <f>B61/B62</f>
        <v>1.4061387900355873E-2</v>
      </c>
      <c r="G63" s="8"/>
      <c r="H63" t="s">
        <v>200</v>
      </c>
      <c r="I63" s="8">
        <f>I58-I60+I30</f>
        <v>54046.462526145828</v>
      </c>
    </row>
    <row r="64" spans="1:10" x14ac:dyDescent="0.55000000000000004">
      <c r="A64"/>
      <c r="H64" t="s">
        <v>394</v>
      </c>
      <c r="I64" s="8">
        <f>0.2*I63</f>
        <v>10809.292505229167</v>
      </c>
      <c r="J64" s="114">
        <v>0.2</v>
      </c>
    </row>
    <row r="65" spans="1:10" x14ac:dyDescent="0.55000000000000004">
      <c r="A65"/>
      <c r="H65" s="118" t="s">
        <v>21</v>
      </c>
      <c r="I65" s="8">
        <f>0.98*I64</f>
        <v>10593.106655124584</v>
      </c>
      <c r="J65" t="s">
        <v>293</v>
      </c>
    </row>
    <row r="66" spans="1:10" x14ac:dyDescent="0.55000000000000004">
      <c r="A66"/>
      <c r="B66" s="11"/>
      <c r="H66" s="118" t="s">
        <v>22</v>
      </c>
      <c r="I66" s="8">
        <f>0.02*I64</f>
        <v>216.18585010458332</v>
      </c>
      <c r="J66" t="s">
        <v>293</v>
      </c>
    </row>
    <row r="67" spans="1:10" x14ac:dyDescent="0.55000000000000004">
      <c r="A67"/>
      <c r="I67" s="8"/>
    </row>
    <row r="68" spans="1:10" x14ac:dyDescent="0.55000000000000004">
      <c r="H68" t="s">
        <v>395</v>
      </c>
      <c r="I68" s="8">
        <f>I63-I64</f>
        <v>43237.170020916659</v>
      </c>
    </row>
    <row r="69" spans="1:10" x14ac:dyDescent="0.55000000000000004">
      <c r="H69" t="s">
        <v>407</v>
      </c>
      <c r="I69" s="8">
        <f>B36*I68</f>
        <v>5363.6563638646812</v>
      </c>
    </row>
    <row r="70" spans="1:10" x14ac:dyDescent="0.55000000000000004">
      <c r="A70" t="s">
        <v>586</v>
      </c>
      <c r="B70" s="254">
        <v>0.90718500000000002</v>
      </c>
      <c r="C70" t="s">
        <v>103</v>
      </c>
      <c r="H70" t="s">
        <v>408</v>
      </c>
      <c r="I70" s="8">
        <f>I68*B35</f>
        <v>37873.513657051975</v>
      </c>
    </row>
    <row r="72" spans="1:10" x14ac:dyDescent="0.55000000000000004">
      <c r="I72" s="190"/>
    </row>
    <row r="74" spans="1:10" x14ac:dyDescent="0.55000000000000004">
      <c r="I74" s="7"/>
    </row>
    <row r="75" spans="1:10" x14ac:dyDescent="0.55000000000000004">
      <c r="I75" s="13"/>
    </row>
    <row r="76" spans="1:10" x14ac:dyDescent="0.55000000000000004">
      <c r="I76" s="8"/>
    </row>
    <row r="78" spans="1:10" x14ac:dyDescent="0.55000000000000004">
      <c r="I78" s="8"/>
    </row>
    <row r="80" spans="1:10" x14ac:dyDescent="0.55000000000000004">
      <c r="I80" s="8"/>
    </row>
    <row r="81" spans="9:9" x14ac:dyDescent="0.55000000000000004">
      <c r="I81" s="8"/>
    </row>
  </sheetData>
  <mergeCells count="10">
    <mergeCell ref="C38:C40"/>
    <mergeCell ref="C42:C44"/>
    <mergeCell ref="C14:C15"/>
    <mergeCell ref="C2:C3"/>
    <mergeCell ref="C6:C7"/>
    <mergeCell ref="U16:U17"/>
    <mergeCell ref="Q16:Q17"/>
    <mergeCell ref="H26:J26"/>
    <mergeCell ref="H53:J53"/>
    <mergeCell ref="H62:J62"/>
  </mergeCells>
  <hyperlinks>
    <hyperlink ref="C2" r:id="rId1" location="eyJhcHBpZCI6OTksInN0ZXBzIjpbMSwyNCwyOSwyNSwyNiwyNyw0MF0sImRhdGEiOltbIlRhYmxlSWQiLCI1MDUiXSxbIkNsYXNzaWZpY2F0aW9uIiwiTkFJQ1MiXSxbIlJlYWxfVGFibGVfSWQiLCI1MDUiXSxbIk1ham9yQXJlYUtleSIsIjAiXSxbIkxpbmUiLCIzMyJdLFsiU3RhdGUiLCIwIl0sWyJVbml0X29mX01lYXN1cmUiLCJMZXZlbHMiXSxbIk1hcENvbG9yIiwiQkVBU3RhbmRhcmQiXSxbIm5SYW5nZSIsIjUiXSxbIlllYXIiLCIyMDE5Il0sWyJZZWFyQmVnaW4iLCItMSJdLFsiWWVhckVuZCIsIi0xIl1dfQ==" xr:uid="{35161049-68ED-4BEA-8B38-59C2966B1D29}"/>
    <hyperlink ref="C6:C7" r:id="rId2" display="Source" xr:uid="{57E68926-8C48-4539-9938-36D16DA0451F}"/>
    <hyperlink ref="C38:C40" r:id="rId3" display="Source" xr:uid="{85AB21D9-FB9C-4763-A426-5E3AEB629DD2}"/>
    <hyperlink ref="C42:C44" r:id="rId4" display="Source" xr:uid="{81065F08-F37B-481E-BE66-768BC62D5905}"/>
    <hyperlink ref="D61" r:id="rId5" xr:uid="{E3010384-5A4B-4472-B0EE-22FDEFD4F039}"/>
    <hyperlink ref="D62" r:id="rId6" xr:uid="{051D2114-20C9-4195-BB06-2672B35AF6D6}"/>
    <hyperlink ref="C14:C15" r:id="rId7" display="Source" xr:uid="{2F994BC5-1146-4E44-B718-E20F5E073D21}"/>
    <hyperlink ref="C19" r:id="rId8" xr:uid="{D3216114-3A22-474F-A7E3-D981666E6D6F}"/>
    <hyperlink ref="C18" r:id="rId9" xr:uid="{33EDC2C4-5F33-4580-94AA-8571A6339FC1}"/>
    <hyperlink ref="C25" r:id="rId10" xr:uid="{C3FBA8A7-EE07-49F2-A51A-E6A1F782D2EA}"/>
    <hyperlink ref="C24" r:id="rId11" xr:uid="{3E22728F-0309-49A7-BF33-8646EA31788E}"/>
    <hyperlink ref="C29" r:id="rId12" xr:uid="{F045D780-B991-4F9A-A463-925E22FD0153}"/>
    <hyperlink ref="C28" r:id="rId13" xr:uid="{7B46E40C-B092-43BB-9E8C-96F680AE5D25}"/>
  </hyperlinks>
  <pageMargins left="0.7" right="0.7" top="0.75" bottom="0.75" header="0.3" footer="0.3"/>
  <pageSetup orientation="portrait" r:id="rId14"/>
  <legacyDrawing r:id="rId1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0ACE0-A8B8-433A-94B6-79196FA54D68}">
  <dimension ref="A1:W76"/>
  <sheetViews>
    <sheetView topLeftCell="H1" zoomScale="80" zoomScaleNormal="80" workbookViewId="0">
      <selection activeCell="M37" sqref="M37"/>
    </sheetView>
  </sheetViews>
  <sheetFormatPr defaultRowHeight="14.4" x14ac:dyDescent="0.55000000000000004"/>
  <cols>
    <col min="1" max="1" width="72.7890625" style="122" customWidth="1"/>
    <col min="2" max="2" width="14" customWidth="1"/>
    <col min="3" max="3" width="12.20703125" customWidth="1"/>
    <col min="6" max="7" width="10.7890625" bestFit="1" customWidth="1"/>
    <col min="8" max="8" width="55.5234375" bestFit="1" customWidth="1"/>
    <col min="9" max="9" width="13.20703125" bestFit="1" customWidth="1"/>
    <col min="10" max="10" width="65.3125" customWidth="1"/>
    <col min="12" max="12" width="10.89453125" customWidth="1"/>
    <col min="13" max="13" width="10.20703125" bestFit="1" customWidth="1"/>
    <col min="16" max="16" width="9.7890625" bestFit="1" customWidth="1"/>
    <col min="17" max="17" width="28.41796875" customWidth="1"/>
    <col min="18" max="18" width="11.20703125" customWidth="1"/>
    <col min="19" max="19" width="10.89453125" bestFit="1" customWidth="1"/>
    <col min="21" max="21" width="29.68359375" bestFit="1" customWidth="1"/>
    <col min="22" max="22" width="25.20703125" bestFit="1" customWidth="1"/>
    <col min="24" max="24" width="12" bestFit="1" customWidth="1"/>
  </cols>
  <sheetData>
    <row r="1" spans="1:23" x14ac:dyDescent="0.55000000000000004">
      <c r="C1" s="10" t="s">
        <v>162</v>
      </c>
    </row>
    <row r="2" spans="1:23" ht="28.8" x14ac:dyDescent="0.55000000000000004">
      <c r="A2" s="170" t="s">
        <v>618</v>
      </c>
      <c r="B2" s="7">
        <v>4073.1</v>
      </c>
      <c r="C2" s="295" t="s">
        <v>85</v>
      </c>
      <c r="E2" s="8"/>
      <c r="F2" s="8"/>
      <c r="G2" s="8"/>
      <c r="I2" s="9" t="s">
        <v>428</v>
      </c>
      <c r="J2" s="10" t="s">
        <v>162</v>
      </c>
    </row>
    <row r="3" spans="1:23" x14ac:dyDescent="0.55000000000000004">
      <c r="A3" s="122" t="s">
        <v>172</v>
      </c>
      <c r="B3" s="7">
        <v>83799</v>
      </c>
      <c r="C3" s="295"/>
      <c r="D3" s="8"/>
      <c r="E3" s="8"/>
      <c r="F3" s="8"/>
      <c r="G3" s="8"/>
      <c r="H3" t="s">
        <v>189</v>
      </c>
      <c r="I3" s="138">
        <f>(B12*B10*10^6)-I76</f>
        <v>296226.89969156758</v>
      </c>
      <c r="Q3" s="8"/>
    </row>
    <row r="4" spans="1:23" ht="14.7" thickBot="1" x14ac:dyDescent="0.6">
      <c r="A4" s="140" t="s">
        <v>173</v>
      </c>
      <c r="B4" s="139">
        <f>B2/B3</f>
        <v>4.8605591952171269E-2</v>
      </c>
      <c r="E4" s="8"/>
      <c r="F4" s="107"/>
    </row>
    <row r="5" spans="1:23" ht="39.6" customHeight="1" thickBot="1" x14ac:dyDescent="0.6">
      <c r="E5" s="107"/>
      <c r="F5" s="8"/>
      <c r="G5" s="8"/>
      <c r="H5" s="106" t="s">
        <v>190</v>
      </c>
      <c r="I5" s="113">
        <f>B36*I3</f>
        <v>36747.532156011723</v>
      </c>
      <c r="N5" s="11"/>
      <c r="R5" s="21" t="s">
        <v>285</v>
      </c>
      <c r="S5" s="9" t="s">
        <v>428</v>
      </c>
      <c r="V5" s="21" t="s">
        <v>353</v>
      </c>
    </row>
    <row r="6" spans="1:23" x14ac:dyDescent="0.55000000000000004">
      <c r="A6" s="122" t="s">
        <v>174</v>
      </c>
      <c r="B6" s="7">
        <v>46989</v>
      </c>
      <c r="C6" s="294" t="s">
        <v>85</v>
      </c>
      <c r="E6" s="107"/>
      <c r="G6" s="107"/>
      <c r="H6" s="194" t="s">
        <v>407</v>
      </c>
      <c r="I6" s="195">
        <f>I70</f>
        <v>8214.1246818488416</v>
      </c>
      <c r="Q6" t="s">
        <v>404</v>
      </c>
      <c r="R6" s="8">
        <f>I3*'Virgin Resins_LCIA'!E4</f>
        <v>660585.98631219566</v>
      </c>
      <c r="U6" t="s">
        <v>405</v>
      </c>
      <c r="V6" s="8">
        <f>I3*'Virgin Resins_LCIA'!F4</f>
        <v>18188331641.062248</v>
      </c>
    </row>
    <row r="7" spans="1:23" ht="14.7" thickBot="1" x14ac:dyDescent="0.6">
      <c r="A7" s="122" t="s">
        <v>175</v>
      </c>
      <c r="B7" s="7">
        <v>655529</v>
      </c>
      <c r="C7" s="294"/>
      <c r="H7" s="118" t="s">
        <v>181</v>
      </c>
      <c r="I7" s="116">
        <f>(I5+I6)*0.022</f>
        <v>989.15645043293239</v>
      </c>
      <c r="J7" s="110">
        <v>2.1999999999999999E-2</v>
      </c>
      <c r="P7" s="8"/>
      <c r="Q7" t="s">
        <v>180</v>
      </c>
      <c r="R7" s="7">
        <f>(I5+I6-I7)*'Semi-mfg._LCIA'!E6</f>
        <v>54965.625484284545</v>
      </c>
      <c r="S7" s="107">
        <f>(I5+I6-I7)</f>
        <v>43972.500387427637</v>
      </c>
      <c r="U7" t="s">
        <v>180</v>
      </c>
      <c r="V7" s="7">
        <f>(I5+I6-I7)*('Semi-mfg._LCIA'!F6*1000)</f>
        <v>1354353011.9327712</v>
      </c>
    </row>
    <row r="8" spans="1:23" ht="14.7" thickBot="1" x14ac:dyDescent="0.6">
      <c r="A8" s="140" t="s">
        <v>429</v>
      </c>
      <c r="B8" s="139">
        <f>B6/B7</f>
        <v>7.168103928277772E-2</v>
      </c>
      <c r="F8" s="8"/>
      <c r="G8" s="107"/>
      <c r="H8" s="106" t="s">
        <v>191</v>
      </c>
      <c r="I8" s="113">
        <f>B35*I3</f>
        <v>259479.36753555585</v>
      </c>
      <c r="Q8" t="s">
        <v>335</v>
      </c>
      <c r="R8" s="7">
        <f>(I8+I9-I10)*'Semi-mfg._LCIA'!E16</f>
        <v>203787.1951961795</v>
      </c>
      <c r="S8" s="8">
        <f>(I8+I9-I10)</f>
        <v>310178.3792940327</v>
      </c>
      <c r="U8" t="s">
        <v>335</v>
      </c>
      <c r="V8" s="8">
        <f>(I8+I9-I10)*('Semi-mfg._LCIA'!F16*1000)</f>
        <v>5583210827.2925882</v>
      </c>
    </row>
    <row r="9" spans="1:23" x14ac:dyDescent="0.55000000000000004">
      <c r="H9" s="194" t="s">
        <v>409</v>
      </c>
      <c r="I9" s="195">
        <f>I71</f>
        <v>58001.061629267802</v>
      </c>
    </row>
    <row r="10" spans="1:23" x14ac:dyDescent="0.55000000000000004">
      <c r="A10" s="141" t="s">
        <v>603</v>
      </c>
      <c r="B10" s="142">
        <f>AVERAGE(B4,B8)</f>
        <v>6.0143315617474491E-2</v>
      </c>
      <c r="H10" s="118" t="s">
        <v>86</v>
      </c>
      <c r="I10" s="7">
        <f>(I8+I9)*0.023</f>
        <v>7302.0498707909446</v>
      </c>
      <c r="J10" s="110">
        <v>2.3E-2</v>
      </c>
      <c r="Q10" t="s">
        <v>275</v>
      </c>
      <c r="R10" s="7">
        <f>(I13+I52+I57+I66+I17)*EOL_LCIA!D5</f>
        <v>2374.1317306011347</v>
      </c>
      <c r="S10" s="8">
        <f>(I13+I52+I57+I66+I17)</f>
        <v>107915.07866368795</v>
      </c>
      <c r="U10" t="s">
        <v>275</v>
      </c>
      <c r="V10" s="8">
        <f>(I13+I52+I57+I66+I17)*(EOL_LCIA!E5*1000)</f>
        <v>33453674.385743264</v>
      </c>
    </row>
    <row r="11" spans="1:23" x14ac:dyDescent="0.55000000000000004">
      <c r="F11" s="8"/>
      <c r="G11" s="8"/>
      <c r="H11" s="118"/>
      <c r="I11" s="116"/>
      <c r="J11" s="110"/>
      <c r="Q11" s="122" t="s">
        <v>276</v>
      </c>
      <c r="R11" s="7">
        <f>(I14+I53+I58+I67+I18)*EOL_LCIA!I5</f>
        <v>3045.0353487441162</v>
      </c>
      <c r="S11" s="8">
        <f>(I14+I53+I58+I67+I18)</f>
        <v>2222.6535392292817</v>
      </c>
      <c r="U11" s="122" t="s">
        <v>276</v>
      </c>
      <c r="V11" s="8">
        <f>(I14+I53+I58+I67+I18)*(EOL_LCIA!J5*1000)</f>
        <v>-25827234.125844255</v>
      </c>
    </row>
    <row r="12" spans="1:23" x14ac:dyDescent="0.55000000000000004">
      <c r="A12" s="122" t="s">
        <v>301</v>
      </c>
      <c r="B12" s="137">
        <v>5.3074047000000011</v>
      </c>
      <c r="C12" t="s">
        <v>584</v>
      </c>
      <c r="G12" s="8"/>
      <c r="H12" s="2" t="s">
        <v>115</v>
      </c>
      <c r="I12" s="7">
        <f>I7+I10</f>
        <v>8291.2063212238772</v>
      </c>
      <c r="J12" s="110"/>
      <c r="Q12" t="s">
        <v>283</v>
      </c>
      <c r="R12" s="8">
        <f>I31*EOL_LCIA!E21</f>
        <v>1482.5129273055002</v>
      </c>
      <c r="S12" s="8">
        <f>I31</f>
        <v>40176.502095000003</v>
      </c>
      <c r="U12" t="s">
        <v>283</v>
      </c>
      <c r="V12" s="8">
        <f>I31*EOL_LCIA!F21</f>
        <v>22458664.671105001</v>
      </c>
    </row>
    <row r="13" spans="1:23" ht="14.7" thickBot="1" x14ac:dyDescent="0.6">
      <c r="G13" s="8"/>
      <c r="H13" s="118" t="s">
        <v>120</v>
      </c>
      <c r="I13" s="7">
        <f>(0.86*I12)</f>
        <v>7130.4374362525341</v>
      </c>
      <c r="J13" s="110" t="s">
        <v>573</v>
      </c>
      <c r="Q13" t="s">
        <v>277</v>
      </c>
      <c r="R13" s="8">
        <f>(I55-I56)*EOL_LCIA!E28</f>
        <v>2970.3433471193466</v>
      </c>
      <c r="S13" s="8">
        <f>(I55-I56)</f>
        <v>45005.202229081005</v>
      </c>
      <c r="U13" t="s">
        <v>277</v>
      </c>
      <c r="V13" s="8">
        <f>(I55-I56)*EOL_LCIA!F28</f>
        <v>43204994.139917769</v>
      </c>
    </row>
    <row r="14" spans="1:23" ht="14.7" thickBot="1" x14ac:dyDescent="0.6">
      <c r="A14" s="120" t="s">
        <v>176</v>
      </c>
      <c r="B14" s="113">
        <v>36990</v>
      </c>
      <c r="C14" s="294" t="s">
        <v>85</v>
      </c>
      <c r="G14" s="11"/>
      <c r="H14" s="118" t="s">
        <v>22</v>
      </c>
      <c r="I14" s="116">
        <f>(0.02*I12)</f>
        <v>165.82412642447756</v>
      </c>
      <c r="J14" s="110" t="s">
        <v>574</v>
      </c>
      <c r="Q14" t="s">
        <v>199</v>
      </c>
      <c r="R14" s="8">
        <f>I16*(EOL_LCIA!I28/2)+(I69*EOL_LCIA!L28)</f>
        <v>55233.604144229532</v>
      </c>
      <c r="S14" s="8">
        <f>I16+I69</f>
        <v>67110.636593808827</v>
      </c>
      <c r="U14" t="s">
        <v>199</v>
      </c>
      <c r="V14" s="8">
        <f>I16*(EOL_LCIA!J28/2)+(I69*EOL_LCIA!M28)</f>
        <v>907815017.78621972</v>
      </c>
    </row>
    <row r="15" spans="1:23" ht="14.7" thickBot="1" x14ac:dyDescent="0.6">
      <c r="A15" s="120" t="s">
        <v>177</v>
      </c>
      <c r="B15" s="113">
        <v>386178</v>
      </c>
      <c r="C15" s="294"/>
      <c r="H15" s="118" t="s">
        <v>346</v>
      </c>
      <c r="I15" s="8">
        <f>0.12*I12</f>
        <v>994.94475854686527</v>
      </c>
      <c r="J15" t="s">
        <v>573</v>
      </c>
      <c r="Q15" t="s">
        <v>379</v>
      </c>
      <c r="R15" s="7">
        <f>(0.897*10^6)*B63</f>
        <v>13799.768439887872</v>
      </c>
      <c r="U15" t="s">
        <v>379</v>
      </c>
      <c r="V15" s="7">
        <f>(12*10^9)*B63</f>
        <v>184612286.82124245</v>
      </c>
    </row>
    <row r="16" spans="1:23" ht="72.3" thickBot="1" x14ac:dyDescent="0.6">
      <c r="A16" s="121" t="s">
        <v>623</v>
      </c>
      <c r="B16" s="111">
        <f>B14/B15</f>
        <v>9.578484533039168E-2</v>
      </c>
      <c r="H16" s="118" t="s">
        <v>347</v>
      </c>
      <c r="I16" s="188">
        <f>0.9*I15</f>
        <v>895.4502826921788</v>
      </c>
      <c r="J16" s="170" t="s">
        <v>478</v>
      </c>
      <c r="Q16" s="291" t="s">
        <v>261</v>
      </c>
      <c r="R16" s="8">
        <f>R7+R8+R10+R11+R12+R13+R14+R15</f>
        <v>337658.21661835152</v>
      </c>
      <c r="S16" t="s">
        <v>286</v>
      </c>
      <c r="U16" s="291" t="s">
        <v>261</v>
      </c>
      <c r="V16" s="8">
        <f>V7+V8+V10+V11+V12+V13+V14+V15</f>
        <v>8103281242.9037428</v>
      </c>
      <c r="W16" t="s">
        <v>354</v>
      </c>
    </row>
    <row r="17" spans="1:23" ht="14.7" thickBot="1" x14ac:dyDescent="0.6">
      <c r="A17" s="120"/>
      <c r="B17" s="106"/>
      <c r="G17" s="8"/>
      <c r="H17" s="118" t="s">
        <v>570</v>
      </c>
      <c r="I17" s="188">
        <f>0.98*0.1*I15</f>
        <v>97.504586337592798</v>
      </c>
      <c r="J17" t="s">
        <v>293</v>
      </c>
      <c r="Q17" s="291"/>
      <c r="R17" s="11">
        <f>R16/10^6</f>
        <v>0.33765821661835155</v>
      </c>
      <c r="S17" t="s">
        <v>287</v>
      </c>
      <c r="U17" s="291"/>
      <c r="V17" s="191">
        <f>V16/(10^9)</f>
        <v>8.1032812429037424</v>
      </c>
      <c r="W17" t="s">
        <v>356</v>
      </c>
    </row>
    <row r="18" spans="1:23" ht="24.9" thickBot="1" x14ac:dyDescent="0.6">
      <c r="A18" s="224" t="s">
        <v>467</v>
      </c>
      <c r="B18" s="113">
        <v>9608</v>
      </c>
      <c r="C18" s="3" t="s">
        <v>85</v>
      </c>
      <c r="E18" s="168"/>
      <c r="H18" s="118" t="s">
        <v>571</v>
      </c>
      <c r="I18" s="188">
        <f>(0.02*0.1*I15)</f>
        <v>1.9898895170937305</v>
      </c>
      <c r="J18" t="s">
        <v>293</v>
      </c>
      <c r="Q18" t="s">
        <v>575</v>
      </c>
      <c r="R18" s="8">
        <f>R6-PET_MFA!R6</f>
        <v>-51240.976327146054</v>
      </c>
      <c r="S18" t="s">
        <v>286</v>
      </c>
      <c r="U18" t="s">
        <v>576</v>
      </c>
      <c r="V18" s="8">
        <f>V6-PET_MFA!V6</f>
        <v>-1410850200.2182808</v>
      </c>
      <c r="W18" t="s">
        <v>354</v>
      </c>
    </row>
    <row r="19" spans="1:23" ht="24.9" thickBot="1" x14ac:dyDescent="0.6">
      <c r="A19" s="120" t="s">
        <v>468</v>
      </c>
      <c r="B19" s="113">
        <v>124940</v>
      </c>
      <c r="C19" s="3" t="s">
        <v>85</v>
      </c>
      <c r="H19" s="118"/>
      <c r="I19" s="188"/>
      <c r="J19" s="170"/>
      <c r="Q19" t="s">
        <v>566</v>
      </c>
      <c r="R19" s="268">
        <f>(R16+R18)/10^6</f>
        <v>0.28641724029120547</v>
      </c>
      <c r="S19" t="s">
        <v>287</v>
      </c>
      <c r="U19" t="s">
        <v>566</v>
      </c>
      <c r="V19" s="11">
        <f>(V16+V18)/10^9</f>
        <v>6.6924310426854623</v>
      </c>
      <c r="W19" t="s">
        <v>356</v>
      </c>
    </row>
    <row r="20" spans="1:23" ht="14.7" thickBot="1" x14ac:dyDescent="0.6">
      <c r="A20" s="121" t="s">
        <v>624</v>
      </c>
      <c r="B20" s="111">
        <f>B18/B19</f>
        <v>7.6900912437970231E-2</v>
      </c>
      <c r="H20" t="s">
        <v>264</v>
      </c>
      <c r="I20" s="7">
        <f>'Trade Data'!F85/1000</f>
        <v>4715.2860600000004</v>
      </c>
      <c r="R20" s="268"/>
      <c r="V20" s="8"/>
    </row>
    <row r="21" spans="1:23" ht="14.7" thickBot="1" x14ac:dyDescent="0.6">
      <c r="A21" s="120"/>
      <c r="B21" s="106"/>
      <c r="H21" t="s">
        <v>265</v>
      </c>
      <c r="I21" s="7">
        <f>'Trade Data'!D85/1000</f>
        <v>559.01856999999995</v>
      </c>
      <c r="Q21" t="s">
        <v>578</v>
      </c>
      <c r="R21">
        <v>22.88</v>
      </c>
      <c r="S21" t="s">
        <v>287</v>
      </c>
      <c r="U21" t="s">
        <v>579</v>
      </c>
      <c r="V21">
        <v>3039</v>
      </c>
      <c r="W21" t="s">
        <v>356</v>
      </c>
    </row>
    <row r="22" spans="1:23" ht="14.7" thickBot="1" x14ac:dyDescent="0.6">
      <c r="A22" s="121" t="s">
        <v>169</v>
      </c>
      <c r="B22" s="143">
        <f>AVERAGE(B16,B20)</f>
        <v>8.6342878884180962E-2</v>
      </c>
      <c r="H22" t="s">
        <v>185</v>
      </c>
      <c r="I22" s="8">
        <f>I20-I21</f>
        <v>4156.2674900000002</v>
      </c>
      <c r="J22" t="s">
        <v>186</v>
      </c>
      <c r="Q22" t="s">
        <v>577</v>
      </c>
      <c r="R22">
        <v>190.89</v>
      </c>
      <c r="S22" t="s">
        <v>287</v>
      </c>
      <c r="U22" t="s">
        <v>580</v>
      </c>
      <c r="V22" s="116">
        <v>744.02538730000003</v>
      </c>
      <c r="W22" t="s">
        <v>356</v>
      </c>
    </row>
    <row r="23" spans="1:23" ht="14.7" thickBot="1" x14ac:dyDescent="0.6">
      <c r="A23" s="120"/>
      <c r="B23" s="106"/>
      <c r="G23" s="8"/>
      <c r="H23" t="s">
        <v>187</v>
      </c>
      <c r="I23" s="8">
        <f>I5+I8-I12+I20+I6+I9</f>
        <v>358866.1657414604</v>
      </c>
    </row>
    <row r="24" spans="1:23" ht="14.7" thickBot="1" x14ac:dyDescent="0.6">
      <c r="A24" s="120" t="s">
        <v>470</v>
      </c>
      <c r="B24" s="112">
        <v>426</v>
      </c>
      <c r="C24" s="3" t="s">
        <v>85</v>
      </c>
      <c r="H24" t="s">
        <v>188</v>
      </c>
      <c r="I24" s="8">
        <f>I21+I51</f>
        <v>171928.90248068733</v>
      </c>
      <c r="L24" s="8"/>
      <c r="Q24" t="s">
        <v>349</v>
      </c>
      <c r="R24" s="164">
        <f>R19/R21</f>
        <v>1.2518236026713526E-2</v>
      </c>
      <c r="U24" t="s">
        <v>581</v>
      </c>
      <c r="V24">
        <v>512.9</v>
      </c>
      <c r="W24" t="s">
        <v>356</v>
      </c>
    </row>
    <row r="25" spans="1:23" ht="14.7" thickBot="1" x14ac:dyDescent="0.6">
      <c r="A25" s="120" t="s">
        <v>469</v>
      </c>
      <c r="B25" s="113">
        <v>33312</v>
      </c>
      <c r="C25" s="3" t="s">
        <v>85</v>
      </c>
      <c r="H25" t="s">
        <v>192</v>
      </c>
      <c r="I25" s="8">
        <f>I23-I24</f>
        <v>186937.26326077306</v>
      </c>
      <c r="Q25" t="s">
        <v>351</v>
      </c>
      <c r="R25" s="164">
        <f>R19/R22</f>
        <v>1.500430825560299E-3</v>
      </c>
    </row>
    <row r="26" spans="1:23" ht="14.7" thickBot="1" x14ac:dyDescent="0.6">
      <c r="A26" s="121" t="s">
        <v>625</v>
      </c>
      <c r="B26" s="111">
        <f>B24/B25</f>
        <v>1.2788184438040346E-2</v>
      </c>
      <c r="L26" s="8"/>
      <c r="M26" s="13"/>
      <c r="N26" s="8"/>
      <c r="U26" t="s">
        <v>349</v>
      </c>
      <c r="V26" s="164">
        <f>V19/V24</f>
        <v>1.304821805943744E-2</v>
      </c>
    </row>
    <row r="27" spans="1:23" ht="14.7" thickBot="1" x14ac:dyDescent="0.6">
      <c r="A27" s="120"/>
      <c r="B27" s="106"/>
      <c r="G27" s="13"/>
      <c r="H27" s="292" t="s">
        <v>87</v>
      </c>
      <c r="I27" s="292"/>
      <c r="J27" s="292"/>
      <c r="K27" s="8"/>
      <c r="L27" s="8"/>
      <c r="M27" s="114"/>
      <c r="U27" t="s">
        <v>384</v>
      </c>
      <c r="V27" s="164">
        <f>V19/V21</f>
        <v>2.2021819817984408E-3</v>
      </c>
    </row>
    <row r="28" spans="1:23" ht="14.7" thickBot="1" x14ac:dyDescent="0.6">
      <c r="A28" s="120" t="s">
        <v>471</v>
      </c>
      <c r="B28" s="112">
        <v>164</v>
      </c>
      <c r="C28" s="3" t="s">
        <v>85</v>
      </c>
      <c r="G28" s="7"/>
      <c r="H28" s="10" t="s">
        <v>97</v>
      </c>
      <c r="L28" s="8"/>
      <c r="P28" s="8"/>
      <c r="R28" s="7"/>
      <c r="U28" t="s">
        <v>385</v>
      </c>
      <c r="V28" s="164">
        <f>V19/V22</f>
        <v>8.9948960840861639E-3</v>
      </c>
    </row>
    <row r="29" spans="1:23" ht="14.7" thickBot="1" x14ac:dyDescent="0.6">
      <c r="A29" s="120" t="s">
        <v>472</v>
      </c>
      <c r="B29" s="113">
        <v>14056</v>
      </c>
      <c r="C29" s="3" t="s">
        <v>85</v>
      </c>
      <c r="G29" s="13"/>
      <c r="H29" t="s">
        <v>89</v>
      </c>
      <c r="I29" s="146">
        <f>'NextCycle Scenario'!L7</f>
        <v>22519.960439999992</v>
      </c>
      <c r="J29" t="s">
        <v>88</v>
      </c>
      <c r="L29" s="13"/>
      <c r="P29" s="11"/>
    </row>
    <row r="30" spans="1:23" ht="14.7" thickBot="1" x14ac:dyDescent="0.6">
      <c r="A30" s="121" t="s">
        <v>626</v>
      </c>
      <c r="B30" s="111">
        <f>B28/B29</f>
        <v>1.1667615253272624E-2</v>
      </c>
      <c r="G30" s="13"/>
      <c r="H30" t="s">
        <v>193</v>
      </c>
      <c r="I30" s="146">
        <f>'NextCycle Scenario'!I7</f>
        <v>88813.411500000002</v>
      </c>
      <c r="J30" t="s">
        <v>88</v>
      </c>
    </row>
    <row r="31" spans="1:23" ht="14.7" thickBot="1" x14ac:dyDescent="0.6">
      <c r="A31" s="120"/>
      <c r="B31" s="106"/>
      <c r="G31" s="8"/>
      <c r="H31" s="118" t="s">
        <v>194</v>
      </c>
      <c r="I31" s="7">
        <f>(PET_MFA!I30)+(0.45*'NextCycle Scenario'!H7)</f>
        <v>40176.502095000003</v>
      </c>
      <c r="J31" t="s">
        <v>88</v>
      </c>
      <c r="L31" s="8"/>
      <c r="M31" s="13"/>
    </row>
    <row r="32" spans="1:23" ht="14.7" thickBot="1" x14ac:dyDescent="0.6">
      <c r="A32" s="121" t="s">
        <v>170</v>
      </c>
      <c r="B32" s="143">
        <f>AVERAGE(B26,B30)</f>
        <v>1.2227899845656486E-2</v>
      </c>
      <c r="H32" s="118" t="s">
        <v>195</v>
      </c>
      <c r="I32" s="7">
        <f>I30-I31</f>
        <v>48636.909404999999</v>
      </c>
      <c r="J32" t="s">
        <v>88</v>
      </c>
      <c r="L32" s="8"/>
      <c r="M32" s="114"/>
    </row>
    <row r="33" spans="1:18" ht="14.7" thickBot="1" x14ac:dyDescent="0.6">
      <c r="G33" s="8"/>
      <c r="H33" t="s">
        <v>90</v>
      </c>
      <c r="I33" s="8">
        <f>(I29/0.98)*0.02</f>
        <v>459.59102938775499</v>
      </c>
      <c r="J33" t="s">
        <v>293</v>
      </c>
      <c r="R33" s="247"/>
    </row>
    <row r="34" spans="1:18" ht="14.7" thickBot="1" x14ac:dyDescent="0.6">
      <c r="A34" s="145" t="s">
        <v>178</v>
      </c>
      <c r="B34" s="106"/>
      <c r="G34" s="8"/>
      <c r="H34" t="s">
        <v>196</v>
      </c>
      <c r="I34" s="8">
        <f>I29+I30+I33</f>
        <v>111792.96296938775</v>
      </c>
      <c r="L34" s="8"/>
    </row>
    <row r="35" spans="1:18" ht="14.7" thickBot="1" x14ac:dyDescent="0.6">
      <c r="A35" s="106" t="s">
        <v>179</v>
      </c>
      <c r="B35" s="144">
        <f>B22/(B22+B32)</f>
        <v>0.87594802432097363</v>
      </c>
      <c r="G35" s="8"/>
      <c r="H35" t="s">
        <v>91</v>
      </c>
      <c r="I35" s="7">
        <f>'U.S. Post-consumer Waste Mgmt'!E34*'U.S. Post-consumer Waste Mgmt'!P19*1000</f>
        <v>20134.792725531814</v>
      </c>
      <c r="J35" t="s">
        <v>102</v>
      </c>
    </row>
    <row r="36" spans="1:18" ht="14.7" thickBot="1" x14ac:dyDescent="0.6">
      <c r="A36" s="106" t="s">
        <v>180</v>
      </c>
      <c r="B36" s="144">
        <f>B32/(B22+B32)</f>
        <v>0.12405197567902637</v>
      </c>
      <c r="G36" s="13"/>
      <c r="H36" s="117" t="s">
        <v>92</v>
      </c>
      <c r="I36" s="7">
        <f>'U.S. Post-consumer Waste Mgmt'!F34*'U.S. Post-consumer Waste Mgmt'!P19*1000</f>
        <v>1930.7335490235985</v>
      </c>
      <c r="L36" s="13"/>
    </row>
    <row r="37" spans="1:18" ht="14.7" thickBot="1" x14ac:dyDescent="0.6">
      <c r="H37" s="117" t="s">
        <v>93</v>
      </c>
      <c r="I37" s="7">
        <f>0.98*(I35-I36)</f>
        <v>17839.977992978049</v>
      </c>
      <c r="J37" t="s">
        <v>293</v>
      </c>
    </row>
    <row r="38" spans="1:18" ht="14.7" thickBot="1" x14ac:dyDescent="0.6">
      <c r="A38" s="106" t="s">
        <v>167</v>
      </c>
      <c r="B38" s="112">
        <v>14</v>
      </c>
      <c r="C38" s="293" t="s">
        <v>85</v>
      </c>
      <c r="G38" s="8"/>
      <c r="H38" s="117" t="s">
        <v>94</v>
      </c>
      <c r="I38" s="7">
        <f>0.02*(I35-I36)</f>
        <v>364.08118353016425</v>
      </c>
      <c r="J38" t="s">
        <v>293</v>
      </c>
    </row>
    <row r="39" spans="1:18" ht="14.7" thickBot="1" x14ac:dyDescent="0.6">
      <c r="A39" s="106" t="s">
        <v>168</v>
      </c>
      <c r="B39" s="112">
        <v>331</v>
      </c>
      <c r="C39" s="293"/>
      <c r="H39" s="10" t="s">
        <v>98</v>
      </c>
      <c r="I39" s="8">
        <f>I34+I35</f>
        <v>131927.75569491956</v>
      </c>
    </row>
    <row r="40" spans="1:18" ht="14.7" thickBot="1" x14ac:dyDescent="0.6">
      <c r="A40" s="109" t="s">
        <v>84</v>
      </c>
      <c r="B40" s="111">
        <f>B38/B39</f>
        <v>4.2296072507552872E-2</v>
      </c>
      <c r="C40" s="293"/>
      <c r="H40" s="117" t="s">
        <v>235</v>
      </c>
      <c r="I40" s="8">
        <f>I29+I37</f>
        <v>40359.938432978044</v>
      </c>
    </row>
    <row r="41" spans="1:18" ht="14.7" thickBot="1" x14ac:dyDescent="0.6">
      <c r="A41" s="106"/>
      <c r="B41" s="106"/>
      <c r="H41" s="117" t="s">
        <v>236</v>
      </c>
      <c r="I41" s="8">
        <f>I33+I38</f>
        <v>823.6722129179193</v>
      </c>
    </row>
    <row r="42" spans="1:18" ht="14.7" thickBot="1" x14ac:dyDescent="0.6">
      <c r="A42" s="106" t="s">
        <v>163</v>
      </c>
      <c r="B42" s="112">
        <v>1</v>
      </c>
      <c r="C42" s="293" t="s">
        <v>85</v>
      </c>
      <c r="F42" s="8"/>
      <c r="H42" s="117" t="s">
        <v>234</v>
      </c>
      <c r="I42" s="8">
        <f>I30+I36</f>
        <v>90744.145049023602</v>
      </c>
    </row>
    <row r="43" spans="1:18" ht="14.7" thickBot="1" x14ac:dyDescent="0.6">
      <c r="A43" s="106" t="s">
        <v>164</v>
      </c>
      <c r="B43" s="112">
        <v>133</v>
      </c>
      <c r="C43" s="293"/>
      <c r="F43" s="13"/>
      <c r="H43" s="119" t="s">
        <v>99</v>
      </c>
      <c r="I43" s="7">
        <f>'U.S. Post-consumer Waste Mgmt'!F17*'U.S. Post-consumer Waste Mgmt'!P19*1000</f>
        <v>21238.069039259586</v>
      </c>
      <c r="J43" t="s">
        <v>101</v>
      </c>
    </row>
    <row r="44" spans="1:18" ht="14.7" thickBot="1" x14ac:dyDescent="0.6">
      <c r="A44" s="109" t="s">
        <v>84</v>
      </c>
      <c r="B44" s="111">
        <f>B42/B43</f>
        <v>7.5187969924812026E-3</v>
      </c>
      <c r="C44" s="293"/>
      <c r="H44" s="118" t="s">
        <v>96</v>
      </c>
      <c r="I44" s="7">
        <f>0.98*I43</f>
        <v>20813.307658474394</v>
      </c>
      <c r="J44" t="s">
        <v>293</v>
      </c>
    </row>
    <row r="45" spans="1:18" ht="14.7" thickBot="1" x14ac:dyDescent="0.6">
      <c r="H45" s="118" t="s">
        <v>22</v>
      </c>
      <c r="I45" s="7">
        <f>0.02*I43</f>
        <v>424.7613807851917</v>
      </c>
      <c r="J45" t="s">
        <v>293</v>
      </c>
    </row>
    <row r="46" spans="1:18" ht="14.7" thickBot="1" x14ac:dyDescent="0.6">
      <c r="A46" s="106" t="s">
        <v>627</v>
      </c>
      <c r="B46" s="106"/>
      <c r="G46" s="8"/>
    </row>
    <row r="47" spans="1:18" ht="14.7" thickBot="1" x14ac:dyDescent="0.6">
      <c r="A47" s="106" t="s">
        <v>165</v>
      </c>
      <c r="B47" s="115">
        <f>B40/(B40+B44)</f>
        <v>0.84906520747834013</v>
      </c>
      <c r="H47" s="10" t="s">
        <v>100</v>
      </c>
      <c r="I47" s="7">
        <f>'U.S. Post-consumer Waste Mgmt'!F22*'U.S. Post-consumer Waste Mgmt'!P19*1000</f>
        <v>18204.059176508217</v>
      </c>
      <c r="J47" t="s">
        <v>101</v>
      </c>
    </row>
    <row r="48" spans="1:18" ht="14.7" thickBot="1" x14ac:dyDescent="0.6">
      <c r="A48" s="106" t="s">
        <v>166</v>
      </c>
      <c r="B48" s="115">
        <f>B44/(B40+B44)</f>
        <v>0.15093479252165981</v>
      </c>
      <c r="H48" s="118" t="s">
        <v>96</v>
      </c>
      <c r="I48" s="7">
        <f>0.98*I47</f>
        <v>17839.977992978052</v>
      </c>
      <c r="J48" t="s">
        <v>293</v>
      </c>
    </row>
    <row r="49" spans="1:10" x14ac:dyDescent="0.55000000000000004">
      <c r="H49" s="118" t="s">
        <v>22</v>
      </c>
      <c r="I49" s="7">
        <f>0.02*I47</f>
        <v>364.08118353016437</v>
      </c>
      <c r="J49" t="s">
        <v>293</v>
      </c>
    </row>
    <row r="51" spans="1:10" x14ac:dyDescent="0.55000000000000004">
      <c r="A51" s="122" t="s">
        <v>248</v>
      </c>
      <c r="B51" s="7">
        <f>'Trade Data'!D93/1000</f>
        <v>5317.835</v>
      </c>
      <c r="C51" t="s">
        <v>103</v>
      </c>
      <c r="H51" s="119" t="s">
        <v>95</v>
      </c>
      <c r="I51" s="12">
        <f>I39+I43+I47</f>
        <v>171369.88391068735</v>
      </c>
    </row>
    <row r="52" spans="1:10" x14ac:dyDescent="0.55000000000000004">
      <c r="A52" s="122" t="s">
        <v>249</v>
      </c>
      <c r="B52" s="13">
        <f>980*0.907185/B56</f>
        <v>0.45370370370370366</v>
      </c>
      <c r="H52" s="2" t="s">
        <v>255</v>
      </c>
      <c r="I52" s="8">
        <f>I40+I44+I48</f>
        <v>79013.224084430491</v>
      </c>
    </row>
    <row r="53" spans="1:10" x14ac:dyDescent="0.55000000000000004">
      <c r="A53" s="122" t="s">
        <v>250</v>
      </c>
      <c r="B53" s="13">
        <f>50*0.907185/B56</f>
        <v>2.314814814814815E-2</v>
      </c>
      <c r="D53" s="114"/>
      <c r="H53" t="s">
        <v>256</v>
      </c>
      <c r="I53" s="8">
        <f>I41+I45+I49</f>
        <v>1612.5147772332753</v>
      </c>
    </row>
    <row r="54" spans="1:10" x14ac:dyDescent="0.55000000000000004">
      <c r="A54" s="122" t="s">
        <v>252</v>
      </c>
      <c r="B54" s="13">
        <f>1130*0.907185/B56</f>
        <v>0.52314814814814814</v>
      </c>
      <c r="H54" s="292" t="s">
        <v>198</v>
      </c>
      <c r="I54" s="292"/>
      <c r="J54" s="292"/>
    </row>
    <row r="55" spans="1:10" x14ac:dyDescent="0.55000000000000004">
      <c r="A55"/>
      <c r="B55" s="114">
        <f>SUM(B52:B54)</f>
        <v>1</v>
      </c>
      <c r="H55" t="s">
        <v>107</v>
      </c>
      <c r="I55" s="8">
        <f>I32+I36</f>
        <v>50567.642954023599</v>
      </c>
    </row>
    <row r="56" spans="1:10" x14ac:dyDescent="0.55000000000000004">
      <c r="A56" s="122" t="s">
        <v>251</v>
      </c>
      <c r="B56" s="7">
        <f>(980+20+1110+50)*0.907185</f>
        <v>1959.5196000000001</v>
      </c>
      <c r="C56" t="s">
        <v>103</v>
      </c>
      <c r="H56" s="14" t="s">
        <v>104</v>
      </c>
      <c r="I56" s="8">
        <f>I55*0.11</f>
        <v>5562.4407249425958</v>
      </c>
      <c r="J56" s="114">
        <v>0.11</v>
      </c>
    </row>
    <row r="57" spans="1:10" x14ac:dyDescent="0.55000000000000004">
      <c r="A57"/>
      <c r="H57" s="118" t="s">
        <v>105</v>
      </c>
      <c r="I57" s="8">
        <f>0.98*I56</f>
        <v>5451.1919104437438</v>
      </c>
      <c r="J57" t="s">
        <v>293</v>
      </c>
    </row>
    <row r="58" spans="1:10" x14ac:dyDescent="0.55000000000000004">
      <c r="A58"/>
      <c r="H58" s="118" t="s">
        <v>106</v>
      </c>
      <c r="I58" s="116">
        <f>0.02*I56</f>
        <v>111.24881449885191</v>
      </c>
      <c r="J58" t="s">
        <v>293</v>
      </c>
    </row>
    <row r="59" spans="1:10" x14ac:dyDescent="0.55000000000000004">
      <c r="A59" t="s">
        <v>379</v>
      </c>
      <c r="H59" t="s">
        <v>108</v>
      </c>
      <c r="I59" s="8">
        <f>I55-I56</f>
        <v>45005.202229081005</v>
      </c>
    </row>
    <row r="60" spans="1:10" x14ac:dyDescent="0.55000000000000004">
      <c r="A60" t="s">
        <v>380</v>
      </c>
      <c r="H60" t="s">
        <v>266</v>
      </c>
      <c r="I60">
        <v>0</v>
      </c>
      <c r="J60" t="s">
        <v>253</v>
      </c>
    </row>
    <row r="61" spans="1:10" x14ac:dyDescent="0.55000000000000004">
      <c r="A61" t="s">
        <v>381</v>
      </c>
      <c r="B61" s="7">
        <f>(3161000*0.907185)+269800</f>
        <v>3137411.7850000001</v>
      </c>
      <c r="C61" t="s">
        <v>103</v>
      </c>
      <c r="D61" s="3" t="s">
        <v>85</v>
      </c>
      <c r="H61" t="s">
        <v>267</v>
      </c>
      <c r="I61" s="8">
        <f>B52*B51</f>
        <v>2412.7214351851849</v>
      </c>
    </row>
    <row r="62" spans="1:10" x14ac:dyDescent="0.55000000000000004">
      <c r="A62" t="s">
        <v>382</v>
      </c>
      <c r="B62" s="7">
        <f>(224.8*0.907185*10^6)</f>
        <v>203935188</v>
      </c>
      <c r="C62" t="s">
        <v>103</v>
      </c>
      <c r="D62" s="3" t="s">
        <v>85</v>
      </c>
    </row>
    <row r="63" spans="1:10" x14ac:dyDescent="0.55000000000000004">
      <c r="A63" t="s">
        <v>383</v>
      </c>
      <c r="B63" s="190">
        <f>B61/B62</f>
        <v>1.5384357235103537E-2</v>
      </c>
      <c r="H63" s="292" t="s">
        <v>358</v>
      </c>
      <c r="I63" s="292"/>
      <c r="J63" s="292"/>
    </row>
    <row r="64" spans="1:10" x14ac:dyDescent="0.55000000000000004">
      <c r="A64"/>
      <c r="H64" t="s">
        <v>200</v>
      </c>
      <c r="I64" s="8">
        <f>I59-I61+I31</f>
        <v>82768.982888895815</v>
      </c>
    </row>
    <row r="65" spans="1:10" x14ac:dyDescent="0.55000000000000004">
      <c r="A65"/>
      <c r="H65" t="s">
        <v>394</v>
      </c>
      <c r="I65" s="8">
        <f>0.2*I64</f>
        <v>16553.796577779165</v>
      </c>
      <c r="J65" s="114">
        <v>0.2</v>
      </c>
    </row>
    <row r="66" spans="1:10" x14ac:dyDescent="0.55000000000000004">
      <c r="A66"/>
      <c r="B66" s="11"/>
      <c r="H66" s="118" t="s">
        <v>21</v>
      </c>
      <c r="I66" s="8">
        <f>0.98*I65</f>
        <v>16222.720646223581</v>
      </c>
      <c r="J66" t="s">
        <v>293</v>
      </c>
    </row>
    <row r="67" spans="1:10" x14ac:dyDescent="0.55000000000000004">
      <c r="A67"/>
      <c r="H67" s="118" t="s">
        <v>22</v>
      </c>
      <c r="I67" s="8">
        <f>0.02*I65</f>
        <v>331.07593155558328</v>
      </c>
      <c r="J67" t="s">
        <v>293</v>
      </c>
    </row>
    <row r="68" spans="1:10" x14ac:dyDescent="0.55000000000000004">
      <c r="I68" s="8"/>
    </row>
    <row r="69" spans="1:10" x14ac:dyDescent="0.55000000000000004">
      <c r="H69" t="s">
        <v>395</v>
      </c>
      <c r="I69" s="8">
        <f>I64-I65</f>
        <v>66215.186311116646</v>
      </c>
    </row>
    <row r="70" spans="1:10" x14ac:dyDescent="0.55000000000000004">
      <c r="A70" t="s">
        <v>586</v>
      </c>
      <c r="B70" s="254">
        <v>0.90718500000000002</v>
      </c>
      <c r="C70" t="s">
        <v>103</v>
      </c>
      <c r="H70" t="s">
        <v>407</v>
      </c>
      <c r="I70" s="8">
        <f>B36*I69</f>
        <v>8214.1246818488416</v>
      </c>
      <c r="J70" t="s">
        <v>583</v>
      </c>
    </row>
    <row r="71" spans="1:10" x14ac:dyDescent="0.55000000000000004">
      <c r="H71" t="s">
        <v>408</v>
      </c>
      <c r="I71" s="8">
        <f>I69*B35</f>
        <v>58001.061629267802</v>
      </c>
      <c r="J71" t="s">
        <v>583</v>
      </c>
    </row>
    <row r="73" spans="1:10" x14ac:dyDescent="0.55000000000000004">
      <c r="I73" s="190"/>
    </row>
    <row r="74" spans="1:10" x14ac:dyDescent="0.55000000000000004">
      <c r="I74" s="13"/>
    </row>
    <row r="76" spans="1:10" x14ac:dyDescent="0.55000000000000004">
      <c r="I76" s="8">
        <f>I69-PET_MFA!I68</f>
        <v>22978.016290199987</v>
      </c>
    </row>
  </sheetData>
  <mergeCells count="10">
    <mergeCell ref="H54:J54"/>
    <mergeCell ref="H63:J63"/>
    <mergeCell ref="C2:C3"/>
    <mergeCell ref="C6:C7"/>
    <mergeCell ref="C14:C15"/>
    <mergeCell ref="Q16:Q17"/>
    <mergeCell ref="U16:U17"/>
    <mergeCell ref="H27:J27"/>
    <mergeCell ref="C38:C40"/>
    <mergeCell ref="C42:C44"/>
  </mergeCells>
  <hyperlinks>
    <hyperlink ref="C2" r:id="rId1" location="eyJhcHBpZCI6OTksInN0ZXBzIjpbMSwyNCwyOSwyNSwyNiwyNyw0MF0sImRhdGEiOltbIlRhYmxlSWQiLCI1MDUiXSxbIkNsYXNzaWZpY2F0aW9uIiwiTkFJQ1MiXSxbIlJlYWxfVGFibGVfSWQiLCI1MDUiXSxbIk1ham9yQXJlYUtleSIsIjAiXSxbIkxpbmUiLCIzMyJdLFsiU3RhdGUiLCIwIl0sWyJVbml0X29mX01lYXN1cmUiLCJMZXZlbHMiXSxbIk1hcENvbG9yIiwiQkVBU3RhbmRhcmQiXSxbIm5SYW5nZSIsIjUiXSxbIlllYXIiLCIyMDE5Il0sWyJZZWFyQmVnaW4iLCItMSJdLFsiWWVhckVuZCIsIi0xIl1dfQ==" xr:uid="{4066024C-3177-4AD3-8830-BE5E08465D42}"/>
    <hyperlink ref="C6:C7" r:id="rId2" display="Source" xr:uid="{BCEBC229-7CA0-4EEF-92E6-67751985BDD6}"/>
    <hyperlink ref="C38:C40" r:id="rId3" display="Source" xr:uid="{5A6A2A9B-31EA-44F7-9AF4-C1FFE60E1D88}"/>
    <hyperlink ref="C42:C44" r:id="rId4" display="Source" xr:uid="{4C6E115A-4296-4E59-BABC-C5908B57C7E2}"/>
    <hyperlink ref="D61" r:id="rId5" xr:uid="{9683C806-8A65-4EF2-956A-47BA6BBDB0A4}"/>
    <hyperlink ref="D62" r:id="rId6" xr:uid="{CAC05E47-4268-4553-AF8F-78B39F579B45}"/>
    <hyperlink ref="C14:C15" r:id="rId7" display="Source" xr:uid="{DF7ABB28-B541-4BAD-8630-A184F4E882A6}"/>
    <hyperlink ref="C19" r:id="rId8" xr:uid="{C407019E-2AC3-4716-8B5D-42020907A60A}"/>
    <hyperlink ref="C18" r:id="rId9" xr:uid="{113255C5-43EB-46A1-AACC-95E7B33C598D}"/>
    <hyperlink ref="C25" r:id="rId10" xr:uid="{6C1F7EA1-AA62-40C8-90EC-3A5E38DED257}"/>
    <hyperlink ref="C24" r:id="rId11" xr:uid="{9D36F6D9-13F9-494D-B0F7-2398AF64F952}"/>
    <hyperlink ref="C29" r:id="rId12" xr:uid="{58761EF1-72B5-42B5-A8B2-E6A294914573}"/>
    <hyperlink ref="C28" r:id="rId13" xr:uid="{743D43BE-8B0F-482E-A701-4ED8A5EB62B0}"/>
  </hyperlinks>
  <pageMargins left="0.7" right="0.7" top="0.75" bottom="0.75" header="0.3" footer="0.3"/>
  <pageSetup orientation="portrait" r:id="rId14"/>
  <legacy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F603-6F48-4E11-908B-208B5393DFDE}">
  <dimension ref="A1:V98"/>
  <sheetViews>
    <sheetView topLeftCell="E1" zoomScale="80" zoomScaleNormal="80" workbookViewId="0">
      <selection activeCell="I24" sqref="I24"/>
    </sheetView>
  </sheetViews>
  <sheetFormatPr defaultRowHeight="14.4" x14ac:dyDescent="0.55000000000000004"/>
  <cols>
    <col min="1" max="1" width="69.20703125" bestFit="1" customWidth="1"/>
    <col min="2" max="2" width="16.20703125" bestFit="1" customWidth="1"/>
    <col min="3" max="3" width="9.3125" bestFit="1" customWidth="1"/>
    <col min="4" max="4" width="12.89453125" customWidth="1"/>
    <col min="5" max="5" width="55" bestFit="1" customWidth="1"/>
    <col min="6" max="6" width="12.68359375" customWidth="1"/>
    <col min="7" max="7" width="64.89453125" customWidth="1"/>
    <col min="8" max="8" width="13.68359375" customWidth="1"/>
    <col min="9" max="9" width="11.1015625" bestFit="1" customWidth="1"/>
    <col min="12" max="12" width="11.5234375" customWidth="1"/>
    <col min="13" max="13" width="31.20703125" customWidth="1"/>
    <col min="14" max="14" width="13.5234375" customWidth="1"/>
    <col min="15" max="15" width="11.68359375" bestFit="1" customWidth="1"/>
    <col min="19" max="19" width="34.89453125" customWidth="1"/>
    <col min="20" max="20" width="15.7890625" bestFit="1" customWidth="1"/>
  </cols>
  <sheetData>
    <row r="1" spans="1:22" x14ac:dyDescent="0.55000000000000004">
      <c r="A1" s="122"/>
      <c r="C1" s="10" t="s">
        <v>162</v>
      </c>
    </row>
    <row r="2" spans="1:22" ht="14.7" thickBot="1" x14ac:dyDescent="0.6">
      <c r="A2" s="122" t="s">
        <v>619</v>
      </c>
      <c r="B2" s="7">
        <v>4073.1</v>
      </c>
      <c r="C2" s="295" t="s">
        <v>85</v>
      </c>
      <c r="F2" s="9" t="s">
        <v>428</v>
      </c>
    </row>
    <row r="3" spans="1:22" ht="14.7" thickBot="1" x14ac:dyDescent="0.6">
      <c r="A3" s="122" t="s">
        <v>172</v>
      </c>
      <c r="B3" s="7">
        <v>83799</v>
      </c>
      <c r="C3" s="295"/>
      <c r="D3" s="8"/>
      <c r="E3" s="106" t="s">
        <v>201</v>
      </c>
      <c r="F3" s="113">
        <f>B12*B10*1000000</f>
        <v>456006.6190116916</v>
      </c>
      <c r="I3" s="8"/>
    </row>
    <row r="4" spans="1:22" ht="14.7" thickBot="1" x14ac:dyDescent="0.6">
      <c r="A4" s="140" t="s">
        <v>173</v>
      </c>
      <c r="B4" s="139">
        <f>B2/B3</f>
        <v>4.8605591952171269E-2</v>
      </c>
      <c r="N4" s="7"/>
    </row>
    <row r="5" spans="1:22" ht="29.1" thickBot="1" x14ac:dyDescent="0.6">
      <c r="A5" s="122"/>
      <c r="E5" s="106" t="s">
        <v>414</v>
      </c>
      <c r="F5" s="113">
        <f>0.13*F3</f>
        <v>59280.860471519911</v>
      </c>
      <c r="G5" s="147" t="s">
        <v>204</v>
      </c>
      <c r="I5" s="107"/>
      <c r="N5" s="163" t="s">
        <v>284</v>
      </c>
      <c r="O5" s="9" t="s">
        <v>428</v>
      </c>
      <c r="T5" s="21" t="s">
        <v>353</v>
      </c>
    </row>
    <row r="6" spans="1:22" x14ac:dyDescent="0.55000000000000004">
      <c r="A6" s="122" t="s">
        <v>174</v>
      </c>
      <c r="B6" s="7">
        <v>46989</v>
      </c>
      <c r="C6" s="294" t="s">
        <v>85</v>
      </c>
      <c r="D6" s="107"/>
      <c r="E6" s="194" t="s">
        <v>415</v>
      </c>
      <c r="F6" s="195">
        <f>F91</f>
        <v>4324.5670108372033</v>
      </c>
      <c r="G6" s="147"/>
      <c r="M6" t="s">
        <v>404</v>
      </c>
      <c r="N6" s="7">
        <f>F3*'Virgin Resins_LCIA'!E5</f>
        <v>734170.65660882357</v>
      </c>
      <c r="O6" s="8"/>
      <c r="S6" t="s">
        <v>404</v>
      </c>
      <c r="T6" s="7">
        <f>F3*'Virgin Resins_LCIA'!F5</f>
        <v>33653288483.06284</v>
      </c>
      <c r="V6" s="21"/>
    </row>
    <row r="7" spans="1:22" ht="14.7" thickBot="1" x14ac:dyDescent="0.6">
      <c r="A7" s="122" t="s">
        <v>175</v>
      </c>
      <c r="B7" s="7">
        <v>655529</v>
      </c>
      <c r="C7" s="294"/>
      <c r="D7" s="8"/>
      <c r="E7" s="118" t="s">
        <v>202</v>
      </c>
      <c r="F7" s="116">
        <f>0.006*(F5+F6)</f>
        <v>381.63256489414272</v>
      </c>
      <c r="G7" t="s">
        <v>114</v>
      </c>
      <c r="I7" s="114"/>
      <c r="L7" s="8"/>
      <c r="M7" t="s">
        <v>78</v>
      </c>
      <c r="N7" s="189">
        <f>(F5+F6-F7)*'Semi-mfg._LCIA'!E5</f>
        <v>65120.508764986866</v>
      </c>
      <c r="O7" s="107">
        <f>(F5+F6-F7)</f>
        <v>63223.794917462976</v>
      </c>
      <c r="S7" t="s">
        <v>78</v>
      </c>
      <c r="T7" s="7">
        <f>(F5+F6-F7)*('Semi-mfg._LCIA'!F5*1000)</f>
        <v>1656463426.8375299</v>
      </c>
    </row>
    <row r="8" spans="1:22" ht="14.7" thickBot="1" x14ac:dyDescent="0.6">
      <c r="A8" s="140" t="s">
        <v>84</v>
      </c>
      <c r="B8" s="139">
        <f>B6/B7</f>
        <v>7.168103928277772E-2</v>
      </c>
      <c r="D8" s="8"/>
      <c r="E8" s="106" t="s">
        <v>426</v>
      </c>
      <c r="F8" s="113">
        <f>(F10+F13+F16)</f>
        <v>168722.44903432589</v>
      </c>
      <c r="G8" s="147" t="s">
        <v>205</v>
      </c>
      <c r="M8" t="s">
        <v>274</v>
      </c>
      <c r="N8" s="187">
        <f>SUM(N9:N11)</f>
        <v>64612.076456370894</v>
      </c>
      <c r="O8" s="8">
        <f>SUM(O9:O11)</f>
        <v>181049.17558296211</v>
      </c>
      <c r="S8" t="s">
        <v>274</v>
      </c>
      <c r="T8" s="8">
        <f>SUM(T9:T11)</f>
        <v>1592246726.0930047</v>
      </c>
      <c r="V8" s="116"/>
    </row>
    <row r="9" spans="1:22" ht="14.7" thickBot="1" x14ac:dyDescent="0.6">
      <c r="A9" s="122"/>
      <c r="D9" s="8"/>
      <c r="E9" s="106" t="s">
        <v>427</v>
      </c>
      <c r="F9" s="113">
        <f>F11+F14+F17</f>
        <v>14331.829515253874</v>
      </c>
      <c r="G9" s="147"/>
      <c r="M9" s="118" t="s">
        <v>278</v>
      </c>
      <c r="N9" s="8">
        <f>(F10+F11-F12)*'Semi-mfg._LCIA'!E9</f>
        <v>26230.534147182727</v>
      </c>
      <c r="O9" s="8">
        <f>(F10+F11-F12)</f>
        <v>63512.189218360116</v>
      </c>
      <c r="S9" s="118" t="s">
        <v>278</v>
      </c>
      <c r="T9" s="7">
        <f>(F10+F11-F12)*('Semi-mfg._LCIA'!F9*1000)</f>
        <v>679580424.63645327</v>
      </c>
      <c r="V9" s="8"/>
    </row>
    <row r="10" spans="1:22" ht="14.7" thickBot="1" x14ac:dyDescent="0.6">
      <c r="A10" s="141" t="s">
        <v>601</v>
      </c>
      <c r="B10" s="142">
        <f>AVERAGE(B4,B8)</f>
        <v>6.0143315617474491E-2</v>
      </c>
      <c r="E10" s="112" t="s">
        <v>416</v>
      </c>
      <c r="F10" s="113">
        <f>0.14*F3</f>
        <v>63840.926661636833</v>
      </c>
      <c r="G10" s="115" t="s">
        <v>203</v>
      </c>
      <c r="M10" s="118" t="s">
        <v>279</v>
      </c>
      <c r="N10" s="107">
        <f>(F13+F14-F15)*'Semi-mfg._LCIA'!E11</f>
        <v>9892.1561245514094</v>
      </c>
      <c r="O10" s="107">
        <f>(F13+F14-F15)</f>
        <v>28507.654537612132</v>
      </c>
      <c r="S10" s="118" t="s">
        <v>279</v>
      </c>
      <c r="T10" s="7">
        <f>(F13+F14-F15)*('Semi-mfg._LCIA'!F11*1000)</f>
        <v>236043379.57142845</v>
      </c>
    </row>
    <row r="11" spans="1:22" ht="14.7" thickBot="1" x14ac:dyDescent="0.6">
      <c r="E11" s="196" t="s">
        <v>417</v>
      </c>
      <c r="F11" s="195">
        <f>0.0345*F90</f>
        <v>1233.037701437054</v>
      </c>
      <c r="G11" s="156"/>
      <c r="M11" s="118" t="s">
        <v>280</v>
      </c>
      <c r="N11" s="107">
        <f>(F16+F17-F18)*'Semi-mfg._LCIA'!E10</f>
        <v>28489.386184636762</v>
      </c>
      <c r="O11" s="107">
        <f>(F16+F17-F18)</f>
        <v>89029.331826989874</v>
      </c>
      <c r="S11" s="118" t="s">
        <v>280</v>
      </c>
      <c r="T11" s="7">
        <f>(F16+F17-F18)*('Semi-mfg._LCIA'!F10*1000)</f>
        <v>676622921.88512301</v>
      </c>
      <c r="V11" s="8"/>
    </row>
    <row r="12" spans="1:22" ht="14.7" thickBot="1" x14ac:dyDescent="0.6">
      <c r="A12" s="106" t="s">
        <v>302</v>
      </c>
      <c r="B12" s="112">
        <v>7.5819999999999999</v>
      </c>
      <c r="C12" t="s">
        <v>584</v>
      </c>
      <c r="E12" s="118" t="s">
        <v>202</v>
      </c>
      <c r="F12" s="7">
        <f>0.024*(F10+F11)</f>
        <v>1561.7751447137732</v>
      </c>
      <c r="G12" t="s">
        <v>110</v>
      </c>
      <c r="M12" t="s">
        <v>220</v>
      </c>
      <c r="N12" s="107">
        <f>(F19+F20-F21)*'Semi-mfg._LCIA'!E4</f>
        <v>156794.65187730789</v>
      </c>
      <c r="O12" s="107">
        <f>(F19+F20-F21)</f>
        <v>156794.65187730789</v>
      </c>
      <c r="S12" t="s">
        <v>220</v>
      </c>
      <c r="T12" s="7">
        <f>(F19+F20-F21)*('Semi-mfg._LCIA'!F4*1000)</f>
        <v>4374570787.3768902</v>
      </c>
      <c r="U12" s="122"/>
      <c r="V12" s="11"/>
    </row>
    <row r="13" spans="1:22" ht="14.7" thickBot="1" x14ac:dyDescent="0.6">
      <c r="E13" s="112" t="s">
        <v>424</v>
      </c>
      <c r="F13" s="113">
        <f>0.06*F3</f>
        <v>27360.397140701494</v>
      </c>
      <c r="G13" s="115" t="s">
        <v>206</v>
      </c>
      <c r="M13" t="s">
        <v>281</v>
      </c>
      <c r="N13" s="8">
        <f>(F22+F23-F24)*'Semi-mfg._LCIA'!N5</f>
        <v>97070.485072049909</v>
      </c>
      <c r="O13" s="8">
        <f>(F22+F23-F24)</f>
        <v>86670.075957187408</v>
      </c>
      <c r="S13" t="s">
        <v>281</v>
      </c>
      <c r="T13" s="8">
        <f>(F22+F23-F24)*('Semi-mfg._LCIA'!O5*1000)</f>
        <v>2288090005.2697473</v>
      </c>
      <c r="V13" s="11"/>
    </row>
    <row r="14" spans="1:22" x14ac:dyDescent="0.55000000000000004">
      <c r="A14" t="s">
        <v>480</v>
      </c>
      <c r="B14" s="8">
        <f>F81+F55+LDPE_LLDPE_MFA!F31</f>
        <v>69411.257223159715</v>
      </c>
      <c r="C14" t="s">
        <v>103</v>
      </c>
      <c r="D14" s="107"/>
      <c r="E14" s="196" t="s">
        <v>418</v>
      </c>
      <c r="F14" s="195">
        <f>0.0345*F90</f>
        <v>1233.037701437054</v>
      </c>
      <c r="G14" s="156"/>
      <c r="V14" s="8"/>
    </row>
    <row r="15" spans="1:22" ht="14.7" thickBot="1" x14ac:dyDescent="0.6">
      <c r="A15" s="291" t="s">
        <v>1</v>
      </c>
      <c r="B15" s="8">
        <f>F81+F55</f>
        <v>46731.632223159708</v>
      </c>
      <c r="C15" t="s">
        <v>103</v>
      </c>
      <c r="E15" s="118" t="s">
        <v>202</v>
      </c>
      <c r="F15" s="116">
        <f>0.003*(F13+F14)</f>
        <v>85.780304526415648</v>
      </c>
      <c r="G15" s="110" t="s">
        <v>111</v>
      </c>
      <c r="M15" t="s">
        <v>275</v>
      </c>
      <c r="N15" s="8">
        <f>(F27+F74+F79+F87+F31)*EOL_LCIA!D6</f>
        <v>4030.2109192045541</v>
      </c>
      <c r="O15" s="8">
        <f>(F27+F74+F79+F87+F31)</f>
        <v>183191.40541838884</v>
      </c>
      <c r="S15" t="s">
        <v>275</v>
      </c>
      <c r="T15" s="8">
        <f>(F27+F74+F79+F87+F31)*(EOL_LCIA!E6*1000)</f>
        <v>56789335.679700539</v>
      </c>
      <c r="V15" s="11"/>
    </row>
    <row r="16" spans="1:22" ht="14.7" thickBot="1" x14ac:dyDescent="0.6">
      <c r="A16" s="291"/>
      <c r="B16" s="13">
        <f>(F81+F55)/B14</f>
        <v>0.67325725095161171</v>
      </c>
      <c r="D16" s="11"/>
      <c r="E16" s="112" t="s">
        <v>419</v>
      </c>
      <c r="F16" s="113">
        <f>0.17*F3</f>
        <v>77521.125231987578</v>
      </c>
      <c r="G16" s="115" t="s">
        <v>207</v>
      </c>
      <c r="M16" s="122" t="s">
        <v>276</v>
      </c>
      <c r="N16" s="8">
        <f>(F28+F75+F80+F88+F32)*EOL_LCIA!I6</f>
        <v>5322.6298710570954</v>
      </c>
      <c r="O16" s="8">
        <f>(F28+F75+F80+F88+F32)</f>
        <v>3748.330895110631</v>
      </c>
      <c r="S16" s="122" t="s">
        <v>276</v>
      </c>
      <c r="T16" s="8">
        <f>(F28+F75+F80+F88+F32)*(EOL_LCIA!J6*1000)</f>
        <v>-82088446.602922812</v>
      </c>
      <c r="V16" s="8"/>
    </row>
    <row r="17" spans="1:22" ht="14.7" thickBot="1" x14ac:dyDescent="0.6">
      <c r="A17" s="291" t="s">
        <v>23</v>
      </c>
      <c r="B17" s="7">
        <f>LDPE_LLDPE_MFA!F31</f>
        <v>22679.625</v>
      </c>
      <c r="C17" t="s">
        <v>103</v>
      </c>
      <c r="D17" s="107"/>
      <c r="E17" s="112" t="s">
        <v>420</v>
      </c>
      <c r="F17" s="113">
        <f>0.332*F90</f>
        <v>11865.754112379766</v>
      </c>
      <c r="G17" s="156"/>
      <c r="M17" t="s">
        <v>283</v>
      </c>
      <c r="N17" s="8">
        <f>F55*EOL_LCIA!I21</f>
        <v>34.477384803992834</v>
      </c>
      <c r="O17" s="8">
        <f>F55</f>
        <v>1379.0953921597134</v>
      </c>
      <c r="S17" t="s">
        <v>283</v>
      </c>
      <c r="T17" s="8">
        <f>F55*EOL_LCIA!J21</f>
        <v>220655.26274555415</v>
      </c>
    </row>
    <row r="18" spans="1:22" ht="14.7" thickBot="1" x14ac:dyDescent="0.6">
      <c r="A18" s="291"/>
      <c r="B18" s="13">
        <f>(LDPE_LLDPE_MFA!F31)/B14</f>
        <v>0.32674274904838824</v>
      </c>
      <c r="D18" s="8"/>
      <c r="E18" s="112" t="s">
        <v>202</v>
      </c>
      <c r="F18" s="148">
        <f>0.004*(F16+F17)</f>
        <v>357.54751737746943</v>
      </c>
      <c r="G18" s="110" t="s">
        <v>112</v>
      </c>
      <c r="M18" t="s">
        <v>277</v>
      </c>
      <c r="N18" s="8">
        <f>(F77-F78)*EOL_LCIA!E29</f>
        <v>3582.8504096489996</v>
      </c>
      <c r="O18" s="8">
        <f>(F77-F78)</f>
        <v>45352.536830999998</v>
      </c>
      <c r="S18" t="s">
        <v>277</v>
      </c>
      <c r="T18" s="8">
        <f>(F77-F78)*EOL_LCIA!F29</f>
        <v>54695159.418185994</v>
      </c>
    </row>
    <row r="19" spans="1:22" ht="14.7" thickBot="1" x14ac:dyDescent="0.6">
      <c r="E19" s="106" t="s">
        <v>421</v>
      </c>
      <c r="F19" s="113">
        <f>0.31*F3</f>
        <v>141362.05189362439</v>
      </c>
      <c r="G19" s="114" t="s">
        <v>221</v>
      </c>
      <c r="M19" t="s">
        <v>199</v>
      </c>
      <c r="N19" s="8">
        <f>F30*(EOL_LCIA!I29/2)+(F90*EOL_LCIA!L29)</f>
        <v>16560.658413219473</v>
      </c>
      <c r="O19" s="8">
        <f>F30+F90</f>
        <v>36169.350827888411</v>
      </c>
      <c r="S19" t="s">
        <v>199</v>
      </c>
      <c r="T19" s="8">
        <f>F30*(EOL_LCIA!J29/2)+(F90*EOL_LCIA!M29)</f>
        <v>258121959.97209334</v>
      </c>
    </row>
    <row r="20" spans="1:22" ht="14.7" thickBot="1" x14ac:dyDescent="0.6">
      <c r="A20" t="s">
        <v>246</v>
      </c>
      <c r="B20" s="8">
        <f>B14-B24</f>
        <v>66356.922223159709</v>
      </c>
      <c r="C20" t="s">
        <v>103</v>
      </c>
      <c r="E20" s="106" t="s">
        <v>422</v>
      </c>
      <c r="F20" s="195">
        <f>0.445*F90</f>
        <v>15904.399337376493</v>
      </c>
      <c r="G20" s="114"/>
      <c r="M20" t="s">
        <v>379</v>
      </c>
      <c r="N20" s="7">
        <f>(1.36*10^6)*B33</f>
        <v>19123.487544483989</v>
      </c>
      <c r="S20" t="s">
        <v>379</v>
      </c>
      <c r="T20" s="7">
        <f>(18.2*10^9)*B33</f>
        <v>255917259.78647688</v>
      </c>
      <c r="V20" s="116"/>
    </row>
    <row r="21" spans="1:22" ht="14.7" thickBot="1" x14ac:dyDescent="0.6">
      <c r="A21" t="s">
        <v>1</v>
      </c>
      <c r="B21" s="8">
        <f>B16*B20</f>
        <v>44675.279037574415</v>
      </c>
      <c r="C21" t="s">
        <v>103</v>
      </c>
      <c r="D21" s="8"/>
      <c r="E21" s="112" t="s">
        <v>202</v>
      </c>
      <c r="F21" s="116">
        <f>0.003*(F19+F20)</f>
        <v>471.79935369300267</v>
      </c>
      <c r="G21" s="110" t="s">
        <v>111</v>
      </c>
      <c r="M21" s="291" t="s">
        <v>261</v>
      </c>
      <c r="N21" s="8">
        <f>N7+N8+N12+N13+N15+N16+N17+N18+N19+N20</f>
        <v>432252.03671313374</v>
      </c>
      <c r="O21" t="s">
        <v>348</v>
      </c>
      <c r="S21" s="291" t="s">
        <v>261</v>
      </c>
      <c r="T21" s="8">
        <f>T7+T8+T12+T13+T15+T16+T17+T18+T19+T20</f>
        <v>10455026869.093451</v>
      </c>
      <c r="U21" t="s">
        <v>354</v>
      </c>
    </row>
    <row r="22" spans="1:22" ht="14.7" thickBot="1" x14ac:dyDescent="0.6">
      <c r="B22" s="8">
        <f>B18*B20</f>
        <v>21681.64318558529</v>
      </c>
      <c r="C22" t="s">
        <v>103</v>
      </c>
      <c r="E22" s="106" t="s">
        <v>425</v>
      </c>
      <c r="F22" s="113">
        <f>0.19*F3</f>
        <v>86641.257612221409</v>
      </c>
      <c r="G22" s="114">
        <v>0.19</v>
      </c>
      <c r="L22" s="13"/>
      <c r="M22" s="291"/>
      <c r="N22" s="204">
        <f>N21/10^6</f>
        <v>0.43225203671313372</v>
      </c>
      <c r="O22" t="s">
        <v>287</v>
      </c>
      <c r="S22" s="291"/>
      <c r="T22" s="11">
        <f>T21/10^9</f>
        <v>10.45502686909345</v>
      </c>
      <c r="U22" t="s">
        <v>356</v>
      </c>
    </row>
    <row r="23" spans="1:22" ht="14.7" thickBot="1" x14ac:dyDescent="0.6">
      <c r="E23" s="106" t="s">
        <v>423</v>
      </c>
      <c r="F23" s="195">
        <f>0.032*F90</f>
        <v>1143.6871433619051</v>
      </c>
      <c r="G23" s="114"/>
    </row>
    <row r="24" spans="1:22" ht="29.1" thickBot="1" x14ac:dyDescent="0.6">
      <c r="A24" t="s">
        <v>247</v>
      </c>
      <c r="B24" s="7">
        <f>'Trade Data'!D90/1000</f>
        <v>3054.335</v>
      </c>
      <c r="C24" t="s">
        <v>103</v>
      </c>
      <c r="D24" s="8"/>
      <c r="E24" s="112" t="s">
        <v>202</v>
      </c>
      <c r="F24" s="7">
        <f>0.0127*(F22+F23)</f>
        <v>1114.868798395908</v>
      </c>
      <c r="G24" t="s">
        <v>113</v>
      </c>
      <c r="M24" s="152" t="s">
        <v>375</v>
      </c>
      <c r="N24" s="1">
        <v>25.1</v>
      </c>
      <c r="O24" t="s">
        <v>287</v>
      </c>
      <c r="S24" s="152" t="s">
        <v>355</v>
      </c>
      <c r="T24" s="1">
        <v>3039</v>
      </c>
      <c r="U24" t="s">
        <v>356</v>
      </c>
    </row>
    <row r="25" spans="1:22" x14ac:dyDescent="0.55000000000000004">
      <c r="A25" t="s">
        <v>1</v>
      </c>
      <c r="B25" s="8">
        <f>B15-B21</f>
        <v>2056.3531855852925</v>
      </c>
      <c r="C25" t="s">
        <v>103</v>
      </c>
      <c r="M25" s="152" t="s">
        <v>350</v>
      </c>
      <c r="N25" s="1">
        <v>190.89</v>
      </c>
      <c r="O25" t="s">
        <v>287</v>
      </c>
      <c r="S25" s="152" t="s">
        <v>357</v>
      </c>
      <c r="T25" s="165">
        <v>744.02538730000003</v>
      </c>
      <c r="U25" t="s">
        <v>356</v>
      </c>
    </row>
    <row r="26" spans="1:22" x14ac:dyDescent="0.55000000000000004">
      <c r="A26" t="s">
        <v>23</v>
      </c>
      <c r="B26" s="8">
        <f>B17-B22</f>
        <v>997.98181441471024</v>
      </c>
      <c r="C26" t="s">
        <v>103</v>
      </c>
      <c r="D26" s="7"/>
      <c r="E26" t="s">
        <v>115</v>
      </c>
      <c r="F26" s="8">
        <f>F7+F12+F15+F18+F21+F24</f>
        <v>3973.4036836007117</v>
      </c>
      <c r="M26" s="152"/>
      <c r="S26" s="152"/>
      <c r="T26" s="1"/>
    </row>
    <row r="27" spans="1:22" ht="28.8" x14ac:dyDescent="0.55000000000000004">
      <c r="B27" s="8"/>
      <c r="D27" s="8"/>
      <c r="E27" s="118" t="s">
        <v>21</v>
      </c>
      <c r="F27" s="149">
        <f>(0.86*F26)</f>
        <v>3417.1271678966118</v>
      </c>
      <c r="G27" s="110" t="s">
        <v>573</v>
      </c>
      <c r="M27" s="152" t="s">
        <v>364</v>
      </c>
      <c r="N27" s="164">
        <f>N22/N24</f>
        <v>1.7221196681798154E-2</v>
      </c>
      <c r="S27" s="152" t="s">
        <v>374</v>
      </c>
      <c r="T27" s="1">
        <v>890.3</v>
      </c>
      <c r="U27" t="s">
        <v>356</v>
      </c>
    </row>
    <row r="28" spans="1:22" ht="28.8" x14ac:dyDescent="0.55000000000000004">
      <c r="D28" s="11"/>
      <c r="E28" s="118" t="s">
        <v>22</v>
      </c>
      <c r="F28" s="150">
        <f>(0.02*F26)</f>
        <v>79.468073672014242</v>
      </c>
      <c r="G28" s="110" t="s">
        <v>573</v>
      </c>
      <c r="M28" s="152" t="s">
        <v>365</v>
      </c>
      <c r="N28" s="164">
        <f>N22/N25</f>
        <v>2.2644037755415883E-3</v>
      </c>
      <c r="S28" s="152"/>
    </row>
    <row r="29" spans="1:22" x14ac:dyDescent="0.55000000000000004">
      <c r="A29" t="s">
        <v>379</v>
      </c>
      <c r="D29" s="197"/>
      <c r="E29" s="118" t="s">
        <v>346</v>
      </c>
      <c r="F29" s="8">
        <f>0.12*F26</f>
        <v>476.8084420320854</v>
      </c>
      <c r="G29" s="110" t="s">
        <v>573</v>
      </c>
      <c r="S29" s="152" t="s">
        <v>364</v>
      </c>
      <c r="T29" s="190">
        <f>T22/T27</f>
        <v>1.1743262798038246E-2</v>
      </c>
    </row>
    <row r="30" spans="1:22" ht="72" x14ac:dyDescent="0.55000000000000004">
      <c r="A30" t="s">
        <v>380</v>
      </c>
      <c r="D30" s="168"/>
      <c r="E30" s="118" t="s">
        <v>347</v>
      </c>
      <c r="F30" s="8">
        <f>0.9*F29</f>
        <v>429.12759782887684</v>
      </c>
      <c r="G30" s="170" t="s">
        <v>478</v>
      </c>
      <c r="N30" s="8"/>
      <c r="S30" s="152" t="s">
        <v>386</v>
      </c>
      <c r="T30" s="190">
        <f>T22/T24</f>
        <v>3.4402852481386806E-3</v>
      </c>
    </row>
    <row r="31" spans="1:22" ht="28.8" x14ac:dyDescent="0.55000000000000004">
      <c r="A31" t="s">
        <v>381</v>
      </c>
      <c r="B31" s="7">
        <f>3161000*0.907185</f>
        <v>2867611.7850000001</v>
      </c>
      <c r="C31" t="s">
        <v>103</v>
      </c>
      <c r="D31" s="3" t="s">
        <v>85</v>
      </c>
      <c r="E31" s="118" t="s">
        <v>120</v>
      </c>
      <c r="F31" s="8">
        <f>(0.98*0.1*F29)</f>
        <v>46.727227319144369</v>
      </c>
      <c r="G31" t="s">
        <v>293</v>
      </c>
      <c r="N31" s="8"/>
      <c r="S31" s="152" t="s">
        <v>387</v>
      </c>
      <c r="T31" s="190">
        <f>T22/T25</f>
        <v>1.4051975977639398E-2</v>
      </c>
    </row>
    <row r="32" spans="1:22" x14ac:dyDescent="0.55000000000000004">
      <c r="A32" t="s">
        <v>382</v>
      </c>
      <c r="B32" s="7">
        <f>(224.8*0.907185*10^6)</f>
        <v>203935188</v>
      </c>
      <c r="C32" t="s">
        <v>103</v>
      </c>
      <c r="D32" s="3" t="s">
        <v>85</v>
      </c>
      <c r="E32" s="118" t="s">
        <v>22</v>
      </c>
      <c r="F32" s="8">
        <f>(0.02*0.1*F29)</f>
        <v>0.95361688406417078</v>
      </c>
      <c r="G32" t="s">
        <v>293</v>
      </c>
      <c r="N32" s="11"/>
    </row>
    <row r="33" spans="1:13" x14ac:dyDescent="0.55000000000000004">
      <c r="A33" t="s">
        <v>383</v>
      </c>
      <c r="B33" s="190">
        <f>B31/B32</f>
        <v>1.4061387900355873E-2</v>
      </c>
      <c r="E33" t="s">
        <v>268</v>
      </c>
      <c r="F33" s="107">
        <f>'Trade Data'!F32/1000</f>
        <v>585.83183999999983</v>
      </c>
    </row>
    <row r="34" spans="1:13" x14ac:dyDescent="0.55000000000000004">
      <c r="B34" s="11"/>
      <c r="E34" t="s">
        <v>269</v>
      </c>
      <c r="F34" s="7">
        <f>'Trade Data'!D32/1000</f>
        <v>561.28786000000002</v>
      </c>
      <c r="G34" s="110"/>
    </row>
    <row r="35" spans="1:13" x14ac:dyDescent="0.55000000000000004">
      <c r="B35" s="13"/>
      <c r="D35" s="8"/>
      <c r="E35" t="s">
        <v>185</v>
      </c>
      <c r="F35" s="11">
        <f>F33-F34</f>
        <v>24.543979999999806</v>
      </c>
      <c r="G35" t="s">
        <v>186</v>
      </c>
    </row>
    <row r="36" spans="1:13" x14ac:dyDescent="0.55000000000000004">
      <c r="E36" t="s">
        <v>187</v>
      </c>
      <c r="F36" s="107">
        <f>F5+F8+F19+F22-F26+F33+F6+F9+F20+F23</f>
        <v>488323.53017492034</v>
      </c>
      <c r="H36" s="8"/>
      <c r="I36" s="13"/>
      <c r="M36" s="190"/>
    </row>
    <row r="37" spans="1:13" x14ac:dyDescent="0.55000000000000004">
      <c r="E37" s="152" t="s">
        <v>188</v>
      </c>
      <c r="F37" s="7">
        <f>F34+F73</f>
        <v>221753.32450337248</v>
      </c>
    </row>
    <row r="38" spans="1:13" x14ac:dyDescent="0.55000000000000004">
      <c r="E38" t="s">
        <v>192</v>
      </c>
      <c r="F38" s="107">
        <f>F36-F37</f>
        <v>266570.20567154785</v>
      </c>
      <c r="I38" s="116"/>
    </row>
    <row r="39" spans="1:13" x14ac:dyDescent="0.55000000000000004">
      <c r="D39" s="8"/>
      <c r="F39" s="107"/>
    </row>
    <row r="40" spans="1:13" x14ac:dyDescent="0.55000000000000004">
      <c r="A40" t="s">
        <v>586</v>
      </c>
      <c r="B40" s="254">
        <v>0.90718500000000002</v>
      </c>
      <c r="C40" t="s">
        <v>103</v>
      </c>
      <c r="E40" s="292" t="s">
        <v>87</v>
      </c>
      <c r="F40" s="292"/>
      <c r="G40" s="292"/>
    </row>
    <row r="41" spans="1:13" x14ac:dyDescent="0.55000000000000004">
      <c r="E41" s="10" t="s">
        <v>97</v>
      </c>
    </row>
    <row r="42" spans="1:13" x14ac:dyDescent="0.55000000000000004">
      <c r="D42" s="8"/>
      <c r="E42" t="s">
        <v>116</v>
      </c>
      <c r="F42" s="7">
        <f>F43+F44</f>
        <v>57087.337680000004</v>
      </c>
      <c r="G42" t="s">
        <v>88</v>
      </c>
    </row>
    <row r="43" spans="1:13" x14ac:dyDescent="0.55000000000000004">
      <c r="E43" s="118" t="s">
        <v>208</v>
      </c>
      <c r="F43" s="7">
        <f>9119*B40</f>
        <v>8272.6200150000004</v>
      </c>
      <c r="G43" t="s">
        <v>88</v>
      </c>
    </row>
    <row r="44" spans="1:13" x14ac:dyDescent="0.55000000000000004">
      <c r="E44" s="118" t="s">
        <v>209</v>
      </c>
      <c r="F44" s="7">
        <f>53809*B40</f>
        <v>48814.717665000004</v>
      </c>
      <c r="G44" t="s">
        <v>88</v>
      </c>
      <c r="H44" s="8"/>
    </row>
    <row r="45" spans="1:13" x14ac:dyDescent="0.55000000000000004">
      <c r="D45" s="8"/>
      <c r="E45" t="s">
        <v>139</v>
      </c>
      <c r="F45" s="7">
        <f>F46+F47</f>
        <v>53991.115274999996</v>
      </c>
      <c r="G45" t="s">
        <v>88</v>
      </c>
      <c r="H45" s="11"/>
    </row>
    <row r="46" spans="1:13" x14ac:dyDescent="0.55000000000000004">
      <c r="E46" s="118" t="s">
        <v>208</v>
      </c>
      <c r="F46" s="7">
        <f>8350*B40</f>
        <v>7574.9947499999998</v>
      </c>
      <c r="G46" t="s">
        <v>88</v>
      </c>
    </row>
    <row r="47" spans="1:13" x14ac:dyDescent="0.55000000000000004">
      <c r="E47" s="118" t="s">
        <v>209</v>
      </c>
      <c r="F47" s="7">
        <f>51165*B40</f>
        <v>46416.120524999998</v>
      </c>
      <c r="G47" t="s">
        <v>88</v>
      </c>
    </row>
    <row r="48" spans="1:13" x14ac:dyDescent="0.55000000000000004">
      <c r="E48" t="s">
        <v>117</v>
      </c>
      <c r="F48" s="151">
        <f>SUM(F49:F50)</f>
        <v>1165.0477077551022</v>
      </c>
    </row>
    <row r="49" spans="4:7" x14ac:dyDescent="0.55000000000000004">
      <c r="E49" s="118" t="s">
        <v>208</v>
      </c>
      <c r="F49" s="8">
        <f>(F43/0.98)*0.02</f>
        <v>168.82897989795919</v>
      </c>
      <c r="G49" t="s">
        <v>293</v>
      </c>
    </row>
    <row r="50" spans="4:7" x14ac:dyDescent="0.55000000000000004">
      <c r="E50" s="118" t="s">
        <v>209</v>
      </c>
      <c r="F50" s="8">
        <f>(F44/0.98)*0.02</f>
        <v>996.21872785714299</v>
      </c>
      <c r="G50" t="s">
        <v>293</v>
      </c>
    </row>
    <row r="51" spans="4:7" x14ac:dyDescent="0.55000000000000004">
      <c r="E51" t="s">
        <v>118</v>
      </c>
      <c r="F51" s="7">
        <f>F42+F45+F48</f>
        <v>112243.5006627551</v>
      </c>
    </row>
    <row r="52" spans="4:7" x14ac:dyDescent="0.55000000000000004">
      <c r="D52" s="8"/>
      <c r="E52" s="118" t="s">
        <v>208</v>
      </c>
      <c r="F52" s="8">
        <f>F43+F46+F49</f>
        <v>16016.443744897959</v>
      </c>
    </row>
    <row r="53" spans="4:7" x14ac:dyDescent="0.55000000000000004">
      <c r="E53" s="118" t="s">
        <v>209</v>
      </c>
      <c r="F53" s="8">
        <f>F44+F47+F50</f>
        <v>96227.056917857146</v>
      </c>
    </row>
    <row r="54" spans="4:7" x14ac:dyDescent="0.55000000000000004">
      <c r="E54" t="s">
        <v>119</v>
      </c>
      <c r="F54" s="7">
        <f>'U.S. Post-consumer Waste Mgmt'!E41*'U.S. Post-consumer Waste Mgmt'!P19*1000</f>
        <v>17652.421019644331</v>
      </c>
      <c r="G54" t="s">
        <v>101</v>
      </c>
    </row>
    <row r="55" spans="4:7" ht="28.8" x14ac:dyDescent="0.55000000000000004">
      <c r="E55" t="s">
        <v>122</v>
      </c>
      <c r="F55" s="7">
        <f>'U.S. Post-consumer Waste Mgmt'!F41*'U.S. Post-consumer Waste Mgmt'!P19*1000</f>
        <v>1379.0953921597134</v>
      </c>
      <c r="G55" s="152" t="s">
        <v>212</v>
      </c>
    </row>
    <row r="56" spans="4:7" x14ac:dyDescent="0.55000000000000004">
      <c r="E56" s="118" t="s">
        <v>120</v>
      </c>
      <c r="F56" s="149">
        <f>(F54-F55)*0.98</f>
        <v>15947.859114934925</v>
      </c>
      <c r="G56" t="s">
        <v>293</v>
      </c>
    </row>
    <row r="57" spans="4:7" x14ac:dyDescent="0.55000000000000004">
      <c r="E57" s="118" t="s">
        <v>121</v>
      </c>
      <c r="F57" s="149">
        <f>(F54-F55)*0.02</f>
        <v>325.46651254969237</v>
      </c>
      <c r="G57" t="s">
        <v>293</v>
      </c>
    </row>
    <row r="58" spans="4:7" x14ac:dyDescent="0.55000000000000004">
      <c r="E58" t="s">
        <v>126</v>
      </c>
      <c r="F58" s="8">
        <f>'U.S. Post-consumer Waste Mgmt'!E43*'U.S. Post-consumer Waste Mgmt'!P19*1000</f>
        <v>22065.526274555414</v>
      </c>
      <c r="G58" t="s">
        <v>101</v>
      </c>
    </row>
    <row r="59" spans="4:7" x14ac:dyDescent="0.55000000000000004">
      <c r="E59" s="118" t="s">
        <v>120</v>
      </c>
      <c r="F59" s="149">
        <f>0.98*F58</f>
        <v>21624.215749064304</v>
      </c>
      <c r="G59" t="s">
        <v>293</v>
      </c>
    </row>
    <row r="60" spans="4:7" x14ac:dyDescent="0.55000000000000004">
      <c r="E60" s="118" t="s">
        <v>121</v>
      </c>
      <c r="F60" s="149">
        <f>0.02*F58</f>
        <v>441.31052549110831</v>
      </c>
      <c r="G60" t="s">
        <v>293</v>
      </c>
    </row>
    <row r="61" spans="4:7" x14ac:dyDescent="0.55000000000000004">
      <c r="E61" s="119" t="s">
        <v>210</v>
      </c>
      <c r="F61" s="8">
        <f>F51+F54+F58</f>
        <v>151961.44795695486</v>
      </c>
    </row>
    <row r="62" spans="4:7" x14ac:dyDescent="0.55000000000000004">
      <c r="E62" s="118" t="s">
        <v>237</v>
      </c>
      <c r="F62" s="8">
        <f>F42+F56+F59</f>
        <v>94659.412543999235</v>
      </c>
    </row>
    <row r="63" spans="4:7" x14ac:dyDescent="0.55000000000000004">
      <c r="E63" s="118" t="s">
        <v>238</v>
      </c>
      <c r="F63" s="151">
        <f>F48+F57+F60</f>
        <v>1931.824745795903</v>
      </c>
    </row>
    <row r="64" spans="4:7" x14ac:dyDescent="0.55000000000000004">
      <c r="D64" s="8"/>
      <c r="E64" s="118" t="s">
        <v>239</v>
      </c>
      <c r="F64" s="8">
        <f>F45+F55</f>
        <v>55370.210667159707</v>
      </c>
    </row>
    <row r="65" spans="4:7" x14ac:dyDescent="0.55000000000000004">
      <c r="E65" s="119" t="s">
        <v>123</v>
      </c>
      <c r="F65" s="7">
        <f>'U.S. Post-consumer Waste Mgmt'!F18*'U.S. Post-consumer Waste Mgmt'!P19*1000</f>
        <v>25375.35521573872</v>
      </c>
      <c r="G65" t="s">
        <v>101</v>
      </c>
    </row>
    <row r="66" spans="4:7" x14ac:dyDescent="0.55000000000000004">
      <c r="E66" s="118" t="s">
        <v>96</v>
      </c>
      <c r="F66" s="7">
        <f>0.98*F65</f>
        <v>24867.848111423944</v>
      </c>
      <c r="G66" t="s">
        <v>293</v>
      </c>
    </row>
    <row r="67" spans="4:7" x14ac:dyDescent="0.55000000000000004">
      <c r="E67" s="118" t="s">
        <v>22</v>
      </c>
      <c r="F67" s="7">
        <f>0.02*F65</f>
        <v>507.50710431477444</v>
      </c>
      <c r="G67" t="s">
        <v>293</v>
      </c>
    </row>
    <row r="69" spans="4:7" x14ac:dyDescent="0.55000000000000004">
      <c r="E69" s="10" t="s">
        <v>124</v>
      </c>
      <c r="F69" s="7">
        <f>'U.S. Post-consumer Waste Mgmt'!F23*'U.S. Post-consumer Waste Mgmt'!P19*1000</f>
        <v>43855.233470678882</v>
      </c>
      <c r="G69" t="s">
        <v>101</v>
      </c>
    </row>
    <row r="70" spans="4:7" x14ac:dyDescent="0.55000000000000004">
      <c r="E70" s="118" t="s">
        <v>96</v>
      </c>
      <c r="F70" s="7">
        <f>0.98*F69</f>
        <v>42978.128801265302</v>
      </c>
      <c r="G70" t="s">
        <v>293</v>
      </c>
    </row>
    <row r="71" spans="4:7" x14ac:dyDescent="0.55000000000000004">
      <c r="E71" s="118" t="s">
        <v>22</v>
      </c>
      <c r="F71" s="7">
        <f>0.02*F69</f>
        <v>877.10466941357765</v>
      </c>
      <c r="G71" t="s">
        <v>293</v>
      </c>
    </row>
    <row r="73" spans="4:7" x14ac:dyDescent="0.55000000000000004">
      <c r="E73" s="119" t="s">
        <v>125</v>
      </c>
      <c r="F73" s="12">
        <f>F61+F65+F69</f>
        <v>221192.03664337247</v>
      </c>
    </row>
    <row r="74" spans="4:7" x14ac:dyDescent="0.55000000000000004">
      <c r="D74" s="8"/>
      <c r="E74" s="2" t="s">
        <v>255</v>
      </c>
      <c r="F74" s="8">
        <f>F62+F66+F70</f>
        <v>162505.38945668848</v>
      </c>
    </row>
    <row r="75" spans="4:7" x14ac:dyDescent="0.55000000000000004">
      <c r="E75" t="s">
        <v>256</v>
      </c>
      <c r="F75" s="151">
        <f>F63+F67+F71</f>
        <v>3316.4365195242549</v>
      </c>
    </row>
    <row r="76" spans="4:7" x14ac:dyDescent="0.55000000000000004">
      <c r="E76" s="292" t="s">
        <v>198</v>
      </c>
      <c r="F76" s="292"/>
      <c r="G76" s="292"/>
    </row>
    <row r="77" spans="4:7" x14ac:dyDescent="0.55000000000000004">
      <c r="E77" s="10" t="s">
        <v>211</v>
      </c>
      <c r="F77" s="12">
        <f>F45</f>
        <v>53991.115274999996</v>
      </c>
    </row>
    <row r="78" spans="4:7" x14ac:dyDescent="0.55000000000000004">
      <c r="E78" s="14" t="s">
        <v>104</v>
      </c>
      <c r="F78" s="8">
        <f>F77*0.16</f>
        <v>8638.5784439999989</v>
      </c>
      <c r="G78" s="114">
        <v>0.16</v>
      </c>
    </row>
    <row r="79" spans="4:7" x14ac:dyDescent="0.55000000000000004">
      <c r="E79" s="118" t="s">
        <v>105</v>
      </c>
      <c r="F79" s="8">
        <f>0.98*F78</f>
        <v>8465.8068751199989</v>
      </c>
      <c r="G79" t="s">
        <v>293</v>
      </c>
    </row>
    <row r="80" spans="4:7" x14ac:dyDescent="0.55000000000000004">
      <c r="E80" s="118" t="s">
        <v>106</v>
      </c>
      <c r="F80" s="116">
        <f>0.02*F78</f>
        <v>172.77156887999999</v>
      </c>
      <c r="G80" t="s">
        <v>293</v>
      </c>
    </row>
    <row r="81" spans="5:7" x14ac:dyDescent="0.55000000000000004">
      <c r="E81" t="s">
        <v>108</v>
      </c>
      <c r="F81" s="8">
        <f>F77-F78</f>
        <v>45352.536830999998</v>
      </c>
    </row>
    <row r="82" spans="5:7" x14ac:dyDescent="0.55000000000000004">
      <c r="E82" t="s">
        <v>266</v>
      </c>
      <c r="F82">
        <f>'Trade Data'!F90</f>
        <v>0</v>
      </c>
    </row>
    <row r="83" spans="5:7" x14ac:dyDescent="0.55000000000000004">
      <c r="E83" t="s">
        <v>267</v>
      </c>
      <c r="F83" s="8">
        <f>B25</f>
        <v>2056.3531855852925</v>
      </c>
    </row>
    <row r="84" spans="5:7" x14ac:dyDescent="0.55000000000000004">
      <c r="E84" s="292" t="s">
        <v>358</v>
      </c>
      <c r="F84" s="292"/>
      <c r="G84" s="292"/>
    </row>
    <row r="85" spans="5:7" x14ac:dyDescent="0.55000000000000004">
      <c r="E85" t="s">
        <v>213</v>
      </c>
      <c r="F85" s="8">
        <f>F81-F83+F55</f>
        <v>44675.279037574415</v>
      </c>
    </row>
    <row r="86" spans="5:7" x14ac:dyDescent="0.55000000000000004">
      <c r="E86" t="s">
        <v>394</v>
      </c>
      <c r="F86" s="8">
        <f>0.2*F85</f>
        <v>8935.0558075148838</v>
      </c>
      <c r="G86" s="114">
        <v>0.2</v>
      </c>
    </row>
    <row r="87" spans="5:7" x14ac:dyDescent="0.55000000000000004">
      <c r="E87" s="118" t="s">
        <v>21</v>
      </c>
      <c r="F87" s="8">
        <f>0.98*F86</f>
        <v>8756.354691364586</v>
      </c>
      <c r="G87" t="s">
        <v>293</v>
      </c>
    </row>
    <row r="88" spans="5:7" x14ac:dyDescent="0.55000000000000004">
      <c r="E88" s="118" t="s">
        <v>22</v>
      </c>
      <c r="F88" s="8">
        <f>0.02*F86</f>
        <v>178.70111615029768</v>
      </c>
      <c r="G88" t="s">
        <v>293</v>
      </c>
    </row>
    <row r="90" spans="5:7" x14ac:dyDescent="0.55000000000000004">
      <c r="E90" t="s">
        <v>396</v>
      </c>
      <c r="F90" s="8">
        <f>F85-F86</f>
        <v>35740.223230059535</v>
      </c>
    </row>
    <row r="91" spans="5:7" x14ac:dyDescent="0.55000000000000004">
      <c r="E91" t="s">
        <v>410</v>
      </c>
      <c r="F91" s="8">
        <f>0.121*F90</f>
        <v>4324.5670108372033</v>
      </c>
      <c r="G91" t="s">
        <v>582</v>
      </c>
    </row>
    <row r="92" spans="5:7" x14ac:dyDescent="0.55000000000000004">
      <c r="E92" t="s">
        <v>411</v>
      </c>
      <c r="F92" s="8">
        <f>0.401*F90</f>
        <v>14331.829515253874</v>
      </c>
      <c r="G92" t="s">
        <v>582</v>
      </c>
    </row>
    <row r="93" spans="5:7" x14ac:dyDescent="0.55000000000000004">
      <c r="E93" t="s">
        <v>412</v>
      </c>
      <c r="F93" s="8">
        <f>0.445*F90</f>
        <v>15904.399337376493</v>
      </c>
      <c r="G93" t="s">
        <v>582</v>
      </c>
    </row>
    <row r="94" spans="5:7" x14ac:dyDescent="0.55000000000000004">
      <c r="E94" t="s">
        <v>413</v>
      </c>
      <c r="F94" s="8">
        <f>0.032*F90</f>
        <v>1143.6871433619051</v>
      </c>
      <c r="G94" t="s">
        <v>582</v>
      </c>
    </row>
    <row r="95" spans="5:7" x14ac:dyDescent="0.55000000000000004">
      <c r="F95" s="8"/>
    </row>
    <row r="98" spans="6:6" x14ac:dyDescent="0.55000000000000004">
      <c r="F98" s="13"/>
    </row>
  </sheetData>
  <mergeCells count="9">
    <mergeCell ref="M21:M22"/>
    <mergeCell ref="S21:S22"/>
    <mergeCell ref="E76:G76"/>
    <mergeCell ref="E84:G84"/>
    <mergeCell ref="A15:A16"/>
    <mergeCell ref="A17:A18"/>
    <mergeCell ref="C2:C3"/>
    <mergeCell ref="C6:C7"/>
    <mergeCell ref="E40:G40"/>
  </mergeCells>
  <phoneticPr fontId="17" type="noConversion"/>
  <hyperlinks>
    <hyperlink ref="C2" r:id="rId1" location="eyJhcHBpZCI6OTksInN0ZXBzIjpbMSwyNCwyOSwyNSwyNiwyNyw0MF0sImRhdGEiOltbIlRhYmxlSWQiLCI1MDUiXSxbIkNsYXNzaWZpY2F0aW9uIiwiTkFJQ1MiXSxbIlJlYWxfVGFibGVfSWQiLCI1MDUiXSxbIk1ham9yQXJlYUtleSIsIjAiXSxbIkxpbmUiLCIzMyJdLFsiU3RhdGUiLCIwIl0sWyJVbml0X29mX01lYXN1cmUiLCJMZXZlbHMiXSxbIk1hcENvbG9yIiwiQkVBU3RhbmRhcmQiXSxbIm5SYW5nZSIsIjUiXSxbIlllYXIiLCIyMDE5Il0sWyJZZWFyQmVnaW4iLCItMSJdLFsiWWVhckVuZCIsIi0xIl1dfQ==" xr:uid="{C2A6746B-1A77-4594-834C-5C1E1DDA3943}"/>
    <hyperlink ref="D31" r:id="rId2" xr:uid="{0FA1E16E-CE56-4BC4-BAE1-5179D166E161}"/>
    <hyperlink ref="D32" r:id="rId3" xr:uid="{A87EEDA8-591B-4D4C-A635-845F86C1B755}"/>
    <hyperlink ref="C6:C7" r:id="rId4" display="Source" xr:uid="{EE038598-C78D-4F88-AE1E-6080516CE793}"/>
  </hyperlinks>
  <pageMargins left="0.7" right="0.7" top="0.75" bottom="0.75" header="0.3" footer="0.3"/>
  <pageSetup orientation="portrait"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CAE4-D3D6-4601-950C-461FB95D3EB4}">
  <dimension ref="A1:V100"/>
  <sheetViews>
    <sheetView topLeftCell="E1" zoomScale="80" zoomScaleNormal="80" workbookViewId="0">
      <selection activeCell="E30" sqref="E30"/>
    </sheetView>
  </sheetViews>
  <sheetFormatPr defaultRowHeight="14.4" x14ac:dyDescent="0.55000000000000004"/>
  <cols>
    <col min="1" max="1" width="74.1015625" bestFit="1" customWidth="1"/>
    <col min="2" max="2" width="16.20703125" bestFit="1" customWidth="1"/>
    <col min="3" max="3" width="9.3125" bestFit="1" customWidth="1"/>
    <col min="4" max="4" width="12.89453125" customWidth="1"/>
    <col min="5" max="5" width="55" bestFit="1" customWidth="1"/>
    <col min="6" max="6" width="12.68359375" customWidth="1"/>
    <col min="7" max="7" width="64.89453125" customWidth="1"/>
    <col min="8" max="8" width="13.68359375" customWidth="1"/>
    <col min="12" max="12" width="11.5234375" customWidth="1"/>
    <col min="13" max="13" width="31.20703125" customWidth="1"/>
    <col min="14" max="14" width="13.5234375" customWidth="1"/>
    <col min="15" max="15" width="11.68359375" bestFit="1" customWidth="1"/>
    <col min="19" max="19" width="34.89453125" customWidth="1"/>
    <col min="20" max="20" width="17.68359375" bestFit="1" customWidth="1"/>
  </cols>
  <sheetData>
    <row r="1" spans="1:22" x14ac:dyDescent="0.55000000000000004">
      <c r="A1" s="122"/>
      <c r="C1" s="10" t="s">
        <v>162</v>
      </c>
    </row>
    <row r="2" spans="1:22" ht="14.7" thickBot="1" x14ac:dyDescent="0.6">
      <c r="A2" s="122" t="s">
        <v>619</v>
      </c>
      <c r="B2" s="7">
        <v>4073.1</v>
      </c>
      <c r="C2" s="295" t="s">
        <v>85</v>
      </c>
      <c r="F2" s="9" t="s">
        <v>428</v>
      </c>
    </row>
    <row r="3" spans="1:22" ht="14.7" thickBot="1" x14ac:dyDescent="0.6">
      <c r="A3" s="122" t="s">
        <v>172</v>
      </c>
      <c r="B3" s="7">
        <v>83799</v>
      </c>
      <c r="C3" s="295"/>
      <c r="E3" s="106" t="s">
        <v>201</v>
      </c>
      <c r="F3" s="113">
        <f>(B12*B10*1000000)-F100</f>
        <v>436864.2897636916</v>
      </c>
      <c r="H3" s="8"/>
    </row>
    <row r="4" spans="1:22" ht="14.7" thickBot="1" x14ac:dyDescent="0.6">
      <c r="A4" s="140" t="s">
        <v>173</v>
      </c>
      <c r="B4" s="139">
        <f>B2/B3</f>
        <v>4.8605591952171269E-2</v>
      </c>
      <c r="N4" s="7"/>
    </row>
    <row r="5" spans="1:22" ht="29.1" thickBot="1" x14ac:dyDescent="0.6">
      <c r="A5" s="122"/>
      <c r="E5" s="106" t="s">
        <v>414</v>
      </c>
      <c r="F5" s="113">
        <f>0.13*F3</f>
        <v>56792.357669279911</v>
      </c>
      <c r="G5" s="147" t="s">
        <v>204</v>
      </c>
      <c r="I5" s="107"/>
      <c r="N5" s="163" t="s">
        <v>284</v>
      </c>
      <c r="O5" s="9" t="s">
        <v>428</v>
      </c>
      <c r="T5" s="21" t="s">
        <v>353</v>
      </c>
    </row>
    <row r="6" spans="1:22" x14ac:dyDescent="0.55000000000000004">
      <c r="A6" s="122" t="s">
        <v>174</v>
      </c>
      <c r="B6" s="7">
        <v>46989</v>
      </c>
      <c r="C6" s="294" t="s">
        <v>85</v>
      </c>
      <c r="D6" s="107"/>
      <c r="E6" s="194" t="s">
        <v>415</v>
      </c>
      <c r="F6" s="195">
        <f>F91</f>
        <v>6640.788849845203</v>
      </c>
      <c r="G6" s="147"/>
      <c r="M6" t="s">
        <v>404</v>
      </c>
      <c r="N6" s="7">
        <f>F3*'Virgin Resins_LCIA'!E5</f>
        <v>703351.50651954347</v>
      </c>
      <c r="O6" s="8"/>
      <c r="S6" t="s">
        <v>404</v>
      </c>
      <c r="T6" s="7">
        <f>F3*'Virgin Resins_LCIA'!F5</f>
        <v>32240584584.56044</v>
      </c>
      <c r="V6" s="21"/>
    </row>
    <row r="7" spans="1:22" ht="14.7" thickBot="1" x14ac:dyDescent="0.6">
      <c r="A7" s="122" t="s">
        <v>175</v>
      </c>
      <c r="B7" s="7">
        <v>655529</v>
      </c>
      <c r="C7" s="294"/>
      <c r="D7" s="8"/>
      <c r="E7" s="118" t="s">
        <v>202</v>
      </c>
      <c r="F7" s="116">
        <f>0.006*(F5+F6)</f>
        <v>380.59887911475067</v>
      </c>
      <c r="G7" t="s">
        <v>114</v>
      </c>
      <c r="I7" s="114"/>
      <c r="L7" s="8"/>
      <c r="M7" t="s">
        <v>78</v>
      </c>
      <c r="N7" s="189">
        <f>(F5+F6-F7)*'Semi-mfg._LCIA'!E5</f>
        <v>64944.124069210673</v>
      </c>
      <c r="O7" s="107">
        <f>(F5+F6-F7)</f>
        <v>63052.547640010358</v>
      </c>
      <c r="S7" t="s">
        <v>78</v>
      </c>
      <c r="T7" s="7">
        <f>(F5+F6-F7)*('Semi-mfg._LCIA'!F5*1000)</f>
        <v>1651976748.1682713</v>
      </c>
    </row>
    <row r="8" spans="1:22" ht="14.7" thickBot="1" x14ac:dyDescent="0.6">
      <c r="A8" s="140" t="s">
        <v>84</v>
      </c>
      <c r="B8" s="139">
        <f>B6/B7</f>
        <v>7.168103928277772E-2</v>
      </c>
      <c r="D8" s="8"/>
      <c r="E8" s="106" t="s">
        <v>426</v>
      </c>
      <c r="F8" s="113">
        <f>(F10+F13+F16)</f>
        <v>161639.78721256589</v>
      </c>
      <c r="G8" s="147" t="s">
        <v>205</v>
      </c>
      <c r="M8" t="s">
        <v>274</v>
      </c>
      <c r="N8" s="187">
        <f>SUM(N9:N11)</f>
        <v>64617.530134687135</v>
      </c>
      <c r="O8" s="8">
        <f>SUM(O9:O11)</f>
        <v>181680.11632614082</v>
      </c>
      <c r="S8" t="s">
        <v>274</v>
      </c>
      <c r="T8" s="8">
        <f>SUM(T9:T11)</f>
        <v>1590600696.7261448</v>
      </c>
      <c r="V8" s="116"/>
    </row>
    <row r="9" spans="1:22" ht="14.7" thickBot="1" x14ac:dyDescent="0.6">
      <c r="A9" s="122"/>
      <c r="D9" s="8"/>
      <c r="E9" s="106" t="s">
        <v>427</v>
      </c>
      <c r="F9" s="113">
        <f>F11+F14+F17</f>
        <v>22007.903543701872</v>
      </c>
      <c r="G9" s="147"/>
      <c r="M9" s="118" t="s">
        <v>278</v>
      </c>
      <c r="N9" s="8">
        <f>(F10+F11-F12)*'Semi-mfg._LCIA'!E9</f>
        <v>25416.491588325393</v>
      </c>
      <c r="O9" s="8">
        <f>(F10+F11-F12)</f>
        <v>61541.141860352043</v>
      </c>
      <c r="S9" s="118" t="s">
        <v>278</v>
      </c>
      <c r="T9" s="7">
        <f>(F10+F11-F12)*('Semi-mfg._LCIA'!F9*1000)</f>
        <v>658490217.90576684</v>
      </c>
      <c r="V9" s="8"/>
    </row>
    <row r="10" spans="1:22" ht="14.7" thickBot="1" x14ac:dyDescent="0.6">
      <c r="A10" s="141" t="s">
        <v>601</v>
      </c>
      <c r="B10" s="142">
        <f>AVERAGE(B4,B8)</f>
        <v>6.0143315617474491E-2</v>
      </c>
      <c r="E10" s="112" t="s">
        <v>416</v>
      </c>
      <c r="F10" s="113">
        <f>0.14*F3</f>
        <v>61161.000566916831</v>
      </c>
      <c r="G10" s="115" t="s">
        <v>203</v>
      </c>
      <c r="M10" s="118" t="s">
        <v>279</v>
      </c>
      <c r="N10" s="107">
        <f>(F13+F14-F15)*'Semi-mfg._LCIA'!E11</f>
        <v>9723.2833669015345</v>
      </c>
      <c r="O10" s="107">
        <f>(F13+F14-F15)</f>
        <v>28020.989529975606</v>
      </c>
      <c r="S10" s="118" t="s">
        <v>279</v>
      </c>
      <c r="T10" s="7">
        <f>(F13+F14-F15)*('Semi-mfg._LCIA'!F11*1000)</f>
        <v>232013793.30819803</v>
      </c>
    </row>
    <row r="11" spans="1:22" ht="14.7" thickBot="1" x14ac:dyDescent="0.6">
      <c r="E11" s="196" t="s">
        <v>417</v>
      </c>
      <c r="F11" s="195">
        <f>0.0345*F90</f>
        <v>1893.4480604930538</v>
      </c>
      <c r="G11" s="156"/>
      <c r="M11" s="118" t="s">
        <v>280</v>
      </c>
      <c r="N11" s="107">
        <f>(F16+F17-F18)*'Semi-mfg._LCIA'!E10</f>
        <v>29477.755179460211</v>
      </c>
      <c r="O11" s="107">
        <f>(F16+F17-F18)</f>
        <v>92117.984935813161</v>
      </c>
      <c r="S11" s="118" t="s">
        <v>280</v>
      </c>
      <c r="T11" s="7">
        <f>(F16+F17-F18)*('Semi-mfg._LCIA'!F10*1000)</f>
        <v>700096685.51217997</v>
      </c>
      <c r="V11" s="8"/>
    </row>
    <row r="12" spans="1:22" ht="14.7" thickBot="1" x14ac:dyDescent="0.6">
      <c r="A12" s="106" t="s">
        <v>302</v>
      </c>
      <c r="B12" s="112">
        <v>7.5819999999999999</v>
      </c>
      <c r="C12" t="s">
        <v>584</v>
      </c>
      <c r="E12" s="118" t="s">
        <v>202</v>
      </c>
      <c r="F12" s="7">
        <f>0.024*(F10+F11)</f>
        <v>1513.3067670578373</v>
      </c>
      <c r="G12" t="s">
        <v>110</v>
      </c>
      <c r="M12" t="s">
        <v>220</v>
      </c>
      <c r="N12" s="107">
        <f>(F19+F20-F21)*'Semi-mfg._LCIA'!E4</f>
        <v>159371.11368244243</v>
      </c>
      <c r="O12" s="107">
        <f>(F19+F20-F21)</f>
        <v>159371.11368244243</v>
      </c>
      <c r="S12" t="s">
        <v>220</v>
      </c>
      <c r="T12" s="7">
        <f>(F19+F20-F21)*('Semi-mfg._LCIA'!F4*1000)</f>
        <v>4446454071.7401438</v>
      </c>
      <c r="U12" s="122"/>
      <c r="V12" s="11"/>
    </row>
    <row r="13" spans="1:22" ht="14.7" thickBot="1" x14ac:dyDescent="0.6">
      <c r="E13" s="112" t="s">
        <v>424</v>
      </c>
      <c r="F13" s="113">
        <f>0.06*F3</f>
        <v>26211.857385821495</v>
      </c>
      <c r="G13" s="115" t="s">
        <v>206</v>
      </c>
      <c r="M13" t="s">
        <v>281</v>
      </c>
      <c r="N13" s="8">
        <f>(F22+F23-F24)*'Semi-mfg._LCIA'!N5</f>
        <v>93726.078805937141</v>
      </c>
      <c r="O13" s="8">
        <f>(F22+F23-F24)</f>
        <v>83683.998933872441</v>
      </c>
      <c r="S13" t="s">
        <v>281</v>
      </c>
      <c r="T13" s="8">
        <f>(F22+F23-F24)*('Semi-mfg._LCIA'!O5*1000)</f>
        <v>2209257571.8542323</v>
      </c>
      <c r="V13" s="11"/>
    </row>
    <row r="14" spans="1:22" x14ac:dyDescent="0.55000000000000004">
      <c r="A14" t="s">
        <v>263</v>
      </c>
      <c r="B14" s="8">
        <f>HDPE_MFA!F81+HDPE_MFA!F55+LDPE_LLDPE_MFA!F31</f>
        <v>69411.257223159715</v>
      </c>
      <c r="C14" t="s">
        <v>103</v>
      </c>
      <c r="D14" s="107"/>
      <c r="E14" s="196" t="s">
        <v>418</v>
      </c>
      <c r="F14" s="195">
        <f>0.0345*F90</f>
        <v>1893.4480604930538</v>
      </c>
      <c r="G14" s="156"/>
      <c r="V14" s="8"/>
    </row>
    <row r="15" spans="1:22" ht="14.7" thickBot="1" x14ac:dyDescent="0.6">
      <c r="A15" s="291" t="s">
        <v>1</v>
      </c>
      <c r="B15" s="8">
        <f>HDPE_MFA!F81+HDPE_MFA!F55</f>
        <v>46731.632223159708</v>
      </c>
      <c r="C15" t="s">
        <v>103</v>
      </c>
      <c r="E15" s="118" t="s">
        <v>202</v>
      </c>
      <c r="F15" s="116">
        <f>0.003*(F13+F14)</f>
        <v>84.315916338943651</v>
      </c>
      <c r="G15" s="110" t="s">
        <v>111</v>
      </c>
      <c r="M15" t="s">
        <v>275</v>
      </c>
      <c r="N15" s="8">
        <f>(F27+F74+F79+F87+F31)*EOL_LCIA!D6</f>
        <v>3616.1747385571084</v>
      </c>
      <c r="O15" s="8">
        <f>(F27+F74+F79+F87+F31)</f>
        <v>164371.57902532312</v>
      </c>
      <c r="S15" t="s">
        <v>275</v>
      </c>
      <c r="T15" s="8">
        <f>(F27+F74+F79+F87+F31)*(EOL_LCIA!E6*1000)</f>
        <v>50955189.497850172</v>
      </c>
      <c r="V15" s="11"/>
    </row>
    <row r="16" spans="1:22" ht="14.7" thickBot="1" x14ac:dyDescent="0.6">
      <c r="A16" s="291"/>
      <c r="B16" s="13">
        <f>(HDPE_MFA!F81+HDPE_MFA!F55)/B14</f>
        <v>0.67325725095161171</v>
      </c>
      <c r="D16" s="11"/>
      <c r="E16" s="112" t="s">
        <v>419</v>
      </c>
      <c r="F16" s="113">
        <f>0.17*F3</f>
        <v>74266.929259827579</v>
      </c>
      <c r="G16" s="115" t="s">
        <v>207</v>
      </c>
      <c r="M16" s="122" t="s">
        <v>276</v>
      </c>
      <c r="N16" s="8">
        <f>(F28+F75+F80+F88+F32)*EOL_LCIA!I6</f>
        <v>4776.9982656603834</v>
      </c>
      <c r="O16" s="8">
        <f>(F28+F75+F80+F88+F32)</f>
        <v>3364.0832856763268</v>
      </c>
      <c r="S16" s="122" t="s">
        <v>276</v>
      </c>
      <c r="T16" s="8">
        <f>(F28+F75+F80+F88+F32)*(EOL_LCIA!J6*1000)</f>
        <v>-73673423.956311554</v>
      </c>
      <c r="V16" s="8"/>
    </row>
    <row r="17" spans="1:22" ht="14.7" thickBot="1" x14ac:dyDescent="0.6">
      <c r="A17" s="291" t="s">
        <v>23</v>
      </c>
      <c r="B17" s="7">
        <f>LDPE_LLDPE_MFA!F31</f>
        <v>22679.625</v>
      </c>
      <c r="C17" t="s">
        <v>103</v>
      </c>
      <c r="D17" s="107"/>
      <c r="E17" s="112" t="s">
        <v>420</v>
      </c>
      <c r="F17" s="113">
        <f>0.332*F90</f>
        <v>18221.007422715764</v>
      </c>
      <c r="G17" s="156"/>
      <c r="M17" t="s">
        <v>283</v>
      </c>
      <c r="N17" s="8">
        <f>F55*EOL_LCIA!I21</f>
        <v>34.477384803992834</v>
      </c>
      <c r="O17" s="8">
        <f>F55</f>
        <v>1379.0953921597134</v>
      </c>
      <c r="S17" t="s">
        <v>283</v>
      </c>
      <c r="T17" s="8">
        <f>F55*EOL_LCIA!J21</f>
        <v>220655.26274555415</v>
      </c>
    </row>
    <row r="18" spans="1:22" ht="14.7" thickBot="1" x14ac:dyDescent="0.6">
      <c r="A18" s="291"/>
      <c r="B18" s="13">
        <f>(LDPE_LLDPE_MFA!F31)/B14</f>
        <v>0.32674274904838824</v>
      </c>
      <c r="D18" s="8"/>
      <c r="E18" s="112" t="s">
        <v>202</v>
      </c>
      <c r="F18" s="148">
        <f>0.004*(F16+F17)</f>
        <v>369.95174673017334</v>
      </c>
      <c r="G18" s="110" t="s">
        <v>112</v>
      </c>
      <c r="M18" t="s">
        <v>277</v>
      </c>
      <c r="N18" s="8">
        <f>(F77-F78)*EOL_LCIA!E29</f>
        <v>5473.155422889</v>
      </c>
      <c r="O18" s="8">
        <f>(F77-F78)</f>
        <v>69280.448390999998</v>
      </c>
      <c r="S18" t="s">
        <v>277</v>
      </c>
      <c r="T18" s="8">
        <f>(F77-F78)*EOL_LCIA!F29</f>
        <v>83552220.759545997</v>
      </c>
    </row>
    <row r="19" spans="1:22" ht="14.7" thickBot="1" x14ac:dyDescent="0.6">
      <c r="E19" s="106" t="s">
        <v>421</v>
      </c>
      <c r="F19" s="113">
        <f>0.31*F3</f>
        <v>135427.9298267444</v>
      </c>
      <c r="G19" s="114" t="s">
        <v>221</v>
      </c>
      <c r="M19" t="s">
        <v>199</v>
      </c>
      <c r="N19" s="8">
        <f>F30*(EOL_LCIA!I29/2)+(F90*0.46)</f>
        <v>25364.03663705723</v>
      </c>
      <c r="O19" s="8">
        <f>F30+F90</f>
        <v>55304.204253594689</v>
      </c>
      <c r="S19" t="s">
        <v>199</v>
      </c>
      <c r="T19" s="8">
        <f>F30*(EOL_LCIA!J29/2)+(F90*7170)</f>
        <v>395339978.23238713</v>
      </c>
    </row>
    <row r="20" spans="1:22" ht="14.7" thickBot="1" x14ac:dyDescent="0.6">
      <c r="A20" t="s">
        <v>246</v>
      </c>
      <c r="B20" s="8">
        <f>B14-B24</f>
        <v>66356.922223159709</v>
      </c>
      <c r="C20" t="s">
        <v>103</v>
      </c>
      <c r="E20" s="106" t="s">
        <v>422</v>
      </c>
      <c r="F20" s="195">
        <f>0.445*F90</f>
        <v>24422.735852736492</v>
      </c>
      <c r="G20" s="114"/>
      <c r="M20" t="s">
        <v>379</v>
      </c>
      <c r="N20" s="7">
        <f>(1.36*10^6)*B33</f>
        <v>20922.725839740811</v>
      </c>
      <c r="S20" t="s">
        <v>379</v>
      </c>
      <c r="T20" s="7">
        <f>(18.2*10^9)*B33</f>
        <v>279995301.67888439</v>
      </c>
      <c r="V20" s="116"/>
    </row>
    <row r="21" spans="1:22" ht="14.7" thickBot="1" x14ac:dyDescent="0.6">
      <c r="A21" t="s">
        <v>1</v>
      </c>
      <c r="B21" s="8">
        <f>B16*B20</f>
        <v>44675.279037574415</v>
      </c>
      <c r="C21" t="s">
        <v>103</v>
      </c>
      <c r="D21" s="8"/>
      <c r="E21" s="112" t="s">
        <v>202</v>
      </c>
      <c r="F21" s="116">
        <f>0.003*(F19+F20)</f>
        <v>479.55199703844266</v>
      </c>
      <c r="G21" s="110" t="s">
        <v>111</v>
      </c>
      <c r="M21" s="291" t="s">
        <v>261</v>
      </c>
      <c r="N21" s="8">
        <f>N7+N8+N12+N13+N15+N16+N17+N18+N19+N20</f>
        <v>442846.41498098592</v>
      </c>
      <c r="O21" t="s">
        <v>348</v>
      </c>
      <c r="S21" s="291" t="s">
        <v>261</v>
      </c>
      <c r="T21" s="8">
        <f>T7+T8+T12+T13+T15+T16+T17+T18+T19+T20</f>
        <v>10634679009.963894</v>
      </c>
      <c r="U21" t="s">
        <v>354</v>
      </c>
    </row>
    <row r="22" spans="1:22" ht="14.7" thickBot="1" x14ac:dyDescent="0.6">
      <c r="A22" t="s">
        <v>23</v>
      </c>
      <c r="B22" s="8">
        <f>B18*B20</f>
        <v>21681.64318558529</v>
      </c>
      <c r="C22" t="s">
        <v>103</v>
      </c>
      <c r="E22" s="106" t="s">
        <v>425</v>
      </c>
      <c r="F22" s="113">
        <f>0.19*F3</f>
        <v>83004.215055101406</v>
      </c>
      <c r="G22" s="114">
        <v>0.19</v>
      </c>
      <c r="L22" s="13"/>
      <c r="M22" s="291"/>
      <c r="N22" s="11">
        <f>N21/10^6</f>
        <v>0.44284641498098593</v>
      </c>
      <c r="O22" t="s">
        <v>287</v>
      </c>
      <c r="S22" s="291"/>
      <c r="T22" s="11">
        <f>T21/10^9</f>
        <v>10.634679009963893</v>
      </c>
      <c r="U22" t="s">
        <v>356</v>
      </c>
    </row>
    <row r="23" spans="1:22" ht="14.7" thickBot="1" x14ac:dyDescent="0.6">
      <c r="E23" s="106" t="s">
        <v>423</v>
      </c>
      <c r="F23" s="195">
        <f>0.032*F90</f>
        <v>1756.241679297905</v>
      </c>
      <c r="G23" s="114"/>
      <c r="M23" s="1" t="s">
        <v>575</v>
      </c>
      <c r="N23" s="8">
        <f>N6-HDPE_MFA!N6</f>
        <v>-30819.150089280098</v>
      </c>
      <c r="O23" t="s">
        <v>348</v>
      </c>
      <c r="S23" t="s">
        <v>576</v>
      </c>
      <c r="T23" s="11">
        <f>T6-HDPE_MFA!T6</f>
        <v>-1412703898.5023994</v>
      </c>
      <c r="U23" t="s">
        <v>354</v>
      </c>
    </row>
    <row r="24" spans="1:22" ht="14.7" thickBot="1" x14ac:dyDescent="0.6">
      <c r="A24" t="s">
        <v>247</v>
      </c>
      <c r="B24" s="7">
        <f>'Trade Data'!D90/1000</f>
        <v>3054.335</v>
      </c>
      <c r="C24" t="s">
        <v>103</v>
      </c>
      <c r="D24" s="8"/>
      <c r="E24" s="112" t="s">
        <v>202</v>
      </c>
      <c r="F24" s="7">
        <f>0.0127*(F22+F23)</f>
        <v>1076.4578005268711</v>
      </c>
      <c r="G24" t="s">
        <v>113</v>
      </c>
      <c r="M24" s="1" t="s">
        <v>566</v>
      </c>
      <c r="N24" s="11">
        <f>(N21+N23)/10^6</f>
        <v>0.41202726489170582</v>
      </c>
      <c r="O24" t="s">
        <v>287</v>
      </c>
      <c r="S24" t="s">
        <v>566</v>
      </c>
      <c r="T24" s="11">
        <f>(T21+T23)/10^9</f>
        <v>9.2219751114614947</v>
      </c>
      <c r="U24" t="s">
        <v>356</v>
      </c>
    </row>
    <row r="25" spans="1:22" x14ac:dyDescent="0.55000000000000004">
      <c r="A25" t="s">
        <v>1</v>
      </c>
      <c r="B25" s="8">
        <f>B15-B21</f>
        <v>2056.3531855852925</v>
      </c>
      <c r="C25" t="s">
        <v>103</v>
      </c>
      <c r="N25" s="13"/>
    </row>
    <row r="26" spans="1:22" ht="28.8" x14ac:dyDescent="0.55000000000000004">
      <c r="A26" t="s">
        <v>23</v>
      </c>
      <c r="B26" s="8">
        <f>B17-B22</f>
        <v>997.98181441471024</v>
      </c>
      <c r="C26" t="s">
        <v>103</v>
      </c>
      <c r="D26" s="7"/>
      <c r="E26" t="s">
        <v>115</v>
      </c>
      <c r="F26" s="8">
        <f>F7+F12+F15+F18+F21+F24</f>
        <v>3904.1831068070187</v>
      </c>
      <c r="M26" s="152" t="s">
        <v>375</v>
      </c>
      <c r="N26" s="1">
        <v>25.1</v>
      </c>
      <c r="O26" t="s">
        <v>287</v>
      </c>
      <c r="S26" s="152" t="s">
        <v>355</v>
      </c>
      <c r="T26" s="1">
        <v>3039</v>
      </c>
      <c r="U26" t="s">
        <v>356</v>
      </c>
    </row>
    <row r="27" spans="1:22" x14ac:dyDescent="0.55000000000000004">
      <c r="B27" s="8"/>
      <c r="D27" s="8"/>
      <c r="E27" s="118" t="s">
        <v>21</v>
      </c>
      <c r="F27" s="149">
        <f>(0.86*F26)</f>
        <v>3357.597471854036</v>
      </c>
      <c r="G27" s="110" t="s">
        <v>573</v>
      </c>
      <c r="M27" s="152" t="s">
        <v>350</v>
      </c>
      <c r="N27" s="1">
        <v>190.89</v>
      </c>
      <c r="O27" t="s">
        <v>287</v>
      </c>
      <c r="S27" s="152" t="s">
        <v>357</v>
      </c>
      <c r="T27" s="165">
        <v>744.02538730000003</v>
      </c>
      <c r="U27" t="s">
        <v>356</v>
      </c>
    </row>
    <row r="28" spans="1:22" x14ac:dyDescent="0.55000000000000004">
      <c r="D28" s="11"/>
      <c r="E28" s="118" t="s">
        <v>22</v>
      </c>
      <c r="F28" s="150">
        <f>(0.02*F26)</f>
        <v>78.083662136140376</v>
      </c>
      <c r="G28" s="110" t="s">
        <v>573</v>
      </c>
      <c r="M28" s="152"/>
      <c r="S28" s="152"/>
      <c r="T28" s="1"/>
    </row>
    <row r="29" spans="1:22" ht="28.8" x14ac:dyDescent="0.55000000000000004">
      <c r="A29" t="s">
        <v>379</v>
      </c>
      <c r="D29" s="197"/>
      <c r="E29" s="118" t="s">
        <v>346</v>
      </c>
      <c r="F29" s="8">
        <f>0.12*F26</f>
        <v>468.50197281684223</v>
      </c>
      <c r="G29" s="110" t="s">
        <v>573</v>
      </c>
      <c r="M29" s="152" t="s">
        <v>364</v>
      </c>
      <c r="N29" s="164">
        <f>N24/N26</f>
        <v>1.6415428880147642E-2</v>
      </c>
      <c r="S29" s="152" t="s">
        <v>374</v>
      </c>
      <c r="T29" s="1">
        <v>890.3</v>
      </c>
      <c r="U29" t="s">
        <v>356</v>
      </c>
    </row>
    <row r="30" spans="1:22" ht="72" x14ac:dyDescent="0.55000000000000004">
      <c r="A30" t="s">
        <v>380</v>
      </c>
      <c r="D30" s="168"/>
      <c r="E30" s="118" t="s">
        <v>347</v>
      </c>
      <c r="F30" s="8">
        <f>0.9*F29</f>
        <v>421.65177553515804</v>
      </c>
      <c r="G30" s="170" t="s">
        <v>478</v>
      </c>
      <c r="M30" s="152" t="s">
        <v>365</v>
      </c>
      <c r="N30" s="164">
        <f>N24/N27</f>
        <v>2.158453899584608E-3</v>
      </c>
      <c r="S30" s="152"/>
    </row>
    <row r="31" spans="1:22" x14ac:dyDescent="0.55000000000000004">
      <c r="A31" t="s">
        <v>381</v>
      </c>
      <c r="B31" s="7">
        <f>(3161000*0.907185)+269800</f>
        <v>3137411.7850000001</v>
      </c>
      <c r="C31" t="s">
        <v>103</v>
      </c>
      <c r="D31" s="3" t="s">
        <v>85</v>
      </c>
      <c r="E31" s="118" t="s">
        <v>120</v>
      </c>
      <c r="F31" s="8">
        <f>(0.98*0.1*F29)</f>
        <v>45.91319333605054</v>
      </c>
      <c r="G31" t="s">
        <v>293</v>
      </c>
      <c r="S31" s="152" t="s">
        <v>364</v>
      </c>
      <c r="T31" s="190">
        <f>T24/T29</f>
        <v>1.0358278233698186E-2</v>
      </c>
    </row>
    <row r="32" spans="1:22" ht="28.8" x14ac:dyDescent="0.55000000000000004">
      <c r="A32" t="s">
        <v>382</v>
      </c>
      <c r="B32" s="7">
        <f>(224.8*0.907185*10^6)</f>
        <v>203935188</v>
      </c>
      <c r="C32" t="s">
        <v>103</v>
      </c>
      <c r="D32" s="3" t="s">
        <v>85</v>
      </c>
      <c r="E32" s="118" t="s">
        <v>22</v>
      </c>
      <c r="F32" s="8">
        <f>(0.02*0.1*F29)</f>
        <v>0.9370039456336845</v>
      </c>
      <c r="G32" t="s">
        <v>293</v>
      </c>
      <c r="N32" s="8"/>
      <c r="S32" s="152" t="s">
        <v>386</v>
      </c>
      <c r="T32" s="190">
        <f>T24/T26</f>
        <v>3.0345426493785768E-3</v>
      </c>
    </row>
    <row r="33" spans="1:20" ht="28.8" x14ac:dyDescent="0.55000000000000004">
      <c r="A33" t="s">
        <v>383</v>
      </c>
      <c r="B33" s="190">
        <f>B31/B32</f>
        <v>1.5384357235103537E-2</v>
      </c>
      <c r="E33" t="s">
        <v>268</v>
      </c>
      <c r="F33" s="107">
        <f>'Trade Data'!F32/1000</f>
        <v>585.83183999999983</v>
      </c>
      <c r="N33" s="8"/>
      <c r="S33" s="152" t="s">
        <v>387</v>
      </c>
      <c r="T33" s="190">
        <f>T24/T27</f>
        <v>1.2394704897002503E-2</v>
      </c>
    </row>
    <row r="34" spans="1:20" x14ac:dyDescent="0.55000000000000004">
      <c r="B34" s="11"/>
      <c r="E34" t="s">
        <v>269</v>
      </c>
      <c r="F34" s="7">
        <f>'Trade Data'!D32/1000</f>
        <v>561.28786000000002</v>
      </c>
      <c r="G34" s="110"/>
    </row>
    <row r="35" spans="1:20" x14ac:dyDescent="0.55000000000000004">
      <c r="B35" s="13"/>
      <c r="D35" s="8"/>
      <c r="E35" t="s">
        <v>185</v>
      </c>
      <c r="F35" s="11">
        <f>F33-F34</f>
        <v>24.543979999999806</v>
      </c>
      <c r="G35" t="s">
        <v>186</v>
      </c>
    </row>
    <row r="36" spans="1:20" x14ac:dyDescent="0.55000000000000004">
      <c r="E36" t="s">
        <v>187</v>
      </c>
      <c r="F36" s="107">
        <f>F5+F8+F19+F22-F26+F33+F6+F9+F20+F23</f>
        <v>488373.60842246603</v>
      </c>
      <c r="H36" s="8"/>
      <c r="I36" s="13"/>
    </row>
    <row r="37" spans="1:20" x14ac:dyDescent="0.55000000000000004">
      <c r="E37" s="152" t="s">
        <v>188</v>
      </c>
      <c r="F37" s="7">
        <f>F34+F73</f>
        <v>221753.32450337248</v>
      </c>
    </row>
    <row r="38" spans="1:20" x14ac:dyDescent="0.55000000000000004">
      <c r="E38" t="s">
        <v>192</v>
      </c>
      <c r="F38" s="107">
        <f>F36-F37</f>
        <v>266620.28391909355</v>
      </c>
      <c r="I38" s="116"/>
      <c r="M38" s="190"/>
    </row>
    <row r="39" spans="1:20" x14ac:dyDescent="0.55000000000000004">
      <c r="D39" s="8"/>
      <c r="F39" s="107"/>
    </row>
    <row r="40" spans="1:20" x14ac:dyDescent="0.55000000000000004">
      <c r="E40" s="292" t="s">
        <v>87</v>
      </c>
      <c r="F40" s="292"/>
      <c r="G40" s="292"/>
    </row>
    <row r="41" spans="1:20" x14ac:dyDescent="0.55000000000000004">
      <c r="E41" s="10" t="s">
        <v>97</v>
      </c>
    </row>
    <row r="42" spans="1:20" x14ac:dyDescent="0.55000000000000004">
      <c r="D42" s="8"/>
      <c r="E42" t="s">
        <v>116</v>
      </c>
      <c r="F42" s="7">
        <f>F43+F44</f>
        <v>29171.440860000002</v>
      </c>
      <c r="G42" t="s">
        <v>88</v>
      </c>
    </row>
    <row r="43" spans="1:20" x14ac:dyDescent="0.55000000000000004">
      <c r="E43" s="118" t="s">
        <v>208</v>
      </c>
      <c r="F43" s="7">
        <f>'NextCycle Scenario'!L10</f>
        <v>4360.8382950000005</v>
      </c>
      <c r="G43" t="s">
        <v>88</v>
      </c>
    </row>
    <row r="44" spans="1:20" x14ac:dyDescent="0.55000000000000004">
      <c r="E44" s="118" t="s">
        <v>209</v>
      </c>
      <c r="F44" s="7">
        <f>'NextCycle Scenario'!L11</f>
        <v>24810.602565000001</v>
      </c>
      <c r="G44" t="s">
        <v>88</v>
      </c>
      <c r="H44" s="8"/>
    </row>
    <row r="45" spans="1:20" x14ac:dyDescent="0.55000000000000004">
      <c r="D45" s="8"/>
      <c r="E45" t="s">
        <v>139</v>
      </c>
      <c r="F45" s="7">
        <f>F46+F47</f>
        <v>82476.724275</v>
      </c>
      <c r="G45" t="s">
        <v>88</v>
      </c>
      <c r="H45" s="11"/>
    </row>
    <row r="46" spans="1:20" x14ac:dyDescent="0.55000000000000004">
      <c r="E46" s="118" t="s">
        <v>208</v>
      </c>
      <c r="F46" s="7">
        <f>'NextCycle Scenario'!I10</f>
        <v>11566.608749999999</v>
      </c>
      <c r="G46" t="s">
        <v>88</v>
      </c>
    </row>
    <row r="47" spans="1:20" x14ac:dyDescent="0.55000000000000004">
      <c r="E47" s="118" t="s">
        <v>209</v>
      </c>
      <c r="F47" s="7">
        <f>'NextCycle Scenario'!I11</f>
        <v>70910.115525000001</v>
      </c>
      <c r="G47" t="s">
        <v>88</v>
      </c>
    </row>
    <row r="48" spans="1:20" x14ac:dyDescent="0.55000000000000004">
      <c r="E48" t="s">
        <v>117</v>
      </c>
      <c r="F48" s="151">
        <f>SUM(F49:F50)</f>
        <v>595.33552775510213</v>
      </c>
    </row>
    <row r="49" spans="4:7" x14ac:dyDescent="0.55000000000000004">
      <c r="E49" s="118" t="s">
        <v>208</v>
      </c>
      <c r="F49" s="8">
        <f>(F43/0.98)*0.02</f>
        <v>88.996699897959189</v>
      </c>
      <c r="G49" t="s">
        <v>197</v>
      </c>
    </row>
    <row r="50" spans="4:7" x14ac:dyDescent="0.55000000000000004">
      <c r="E50" s="118" t="s">
        <v>209</v>
      </c>
      <c r="F50" s="8">
        <f>(F44/0.98)*0.02</f>
        <v>506.33882785714292</v>
      </c>
    </row>
    <row r="51" spans="4:7" x14ac:dyDescent="0.55000000000000004">
      <c r="E51" t="s">
        <v>118</v>
      </c>
      <c r="F51" s="7">
        <f>F42+F45+F48</f>
        <v>112243.5006627551</v>
      </c>
    </row>
    <row r="52" spans="4:7" x14ac:dyDescent="0.55000000000000004">
      <c r="D52" s="8"/>
      <c r="E52" s="118" t="s">
        <v>208</v>
      </c>
      <c r="F52" s="8">
        <f>F43+F46+F49</f>
        <v>16016.443744897961</v>
      </c>
    </row>
    <row r="53" spans="4:7" x14ac:dyDescent="0.55000000000000004">
      <c r="E53" s="118" t="s">
        <v>209</v>
      </c>
      <c r="F53" s="8">
        <f>F44+F47+F50</f>
        <v>96227.056917857146</v>
      </c>
    </row>
    <row r="54" spans="4:7" x14ac:dyDescent="0.55000000000000004">
      <c r="E54" t="s">
        <v>119</v>
      </c>
      <c r="F54" s="7">
        <f>'U.S. Post-consumer Waste Mgmt'!E41*'U.S. Post-consumer Waste Mgmt'!P19*1000</f>
        <v>17652.421019644331</v>
      </c>
      <c r="G54" t="s">
        <v>101</v>
      </c>
    </row>
    <row r="55" spans="4:7" ht="28.8" x14ac:dyDescent="0.55000000000000004">
      <c r="E55" t="s">
        <v>122</v>
      </c>
      <c r="F55" s="7">
        <f>'U.S. Post-consumer Waste Mgmt'!F41*'U.S. Post-consumer Waste Mgmt'!P19*1000</f>
        <v>1379.0953921597134</v>
      </c>
      <c r="G55" s="152" t="s">
        <v>212</v>
      </c>
    </row>
    <row r="56" spans="4:7" x14ac:dyDescent="0.55000000000000004">
      <c r="E56" s="118" t="s">
        <v>120</v>
      </c>
      <c r="F56" s="149">
        <f>(F54-F55)*0.98</f>
        <v>15947.859114934925</v>
      </c>
      <c r="G56" t="s">
        <v>293</v>
      </c>
    </row>
    <row r="57" spans="4:7" x14ac:dyDescent="0.55000000000000004">
      <c r="E57" s="118" t="s">
        <v>121</v>
      </c>
      <c r="F57" s="149">
        <f>(F54-F55)*0.02</f>
        <v>325.46651254969237</v>
      </c>
      <c r="G57" t="s">
        <v>293</v>
      </c>
    </row>
    <row r="58" spans="4:7" x14ac:dyDescent="0.55000000000000004">
      <c r="E58" t="s">
        <v>126</v>
      </c>
      <c r="F58" s="8">
        <f>'U.S. Post-consumer Waste Mgmt'!E43*'U.S. Post-consumer Waste Mgmt'!P19*1000</f>
        <v>22065.526274555414</v>
      </c>
      <c r="G58" t="s">
        <v>101</v>
      </c>
    </row>
    <row r="59" spans="4:7" x14ac:dyDescent="0.55000000000000004">
      <c r="E59" s="118" t="s">
        <v>120</v>
      </c>
      <c r="F59" s="149">
        <f>0.98*F58</f>
        <v>21624.215749064304</v>
      </c>
      <c r="G59" t="s">
        <v>293</v>
      </c>
    </row>
    <row r="60" spans="4:7" x14ac:dyDescent="0.55000000000000004">
      <c r="E60" s="118" t="s">
        <v>121</v>
      </c>
      <c r="F60" s="149">
        <f>0.02*F58</f>
        <v>441.31052549110831</v>
      </c>
      <c r="G60" t="s">
        <v>293</v>
      </c>
    </row>
    <row r="61" spans="4:7" x14ac:dyDescent="0.55000000000000004">
      <c r="E61" s="119" t="s">
        <v>210</v>
      </c>
      <c r="F61" s="8">
        <f>F51+F54+F58</f>
        <v>151961.44795695486</v>
      </c>
    </row>
    <row r="62" spans="4:7" x14ac:dyDescent="0.55000000000000004">
      <c r="E62" s="118" t="s">
        <v>237</v>
      </c>
      <c r="F62" s="8">
        <f>F42+F56+F59</f>
        <v>66743.515723999226</v>
      </c>
    </row>
    <row r="63" spans="4:7" x14ac:dyDescent="0.55000000000000004">
      <c r="E63" s="118" t="s">
        <v>238</v>
      </c>
      <c r="F63" s="151">
        <f>F48+F57+F60</f>
        <v>1362.1125657959028</v>
      </c>
    </row>
    <row r="64" spans="4:7" x14ac:dyDescent="0.55000000000000004">
      <c r="D64" s="8"/>
      <c r="E64" s="118" t="s">
        <v>239</v>
      </c>
      <c r="F64" s="8">
        <f>F45+F55</f>
        <v>83855.819667159711</v>
      </c>
    </row>
    <row r="65" spans="4:7" x14ac:dyDescent="0.55000000000000004">
      <c r="E65" s="119" t="s">
        <v>123</v>
      </c>
      <c r="F65" s="7">
        <f>'U.S. Post-consumer Waste Mgmt'!F18*'U.S. Post-consumer Waste Mgmt'!P19*1000</f>
        <v>25375.35521573872</v>
      </c>
      <c r="G65" t="s">
        <v>101</v>
      </c>
    </row>
    <row r="66" spans="4:7" x14ac:dyDescent="0.55000000000000004">
      <c r="E66" s="118" t="s">
        <v>96</v>
      </c>
      <c r="F66" s="7">
        <f>0.98*F65</f>
        <v>24867.848111423944</v>
      </c>
      <c r="G66" t="s">
        <v>293</v>
      </c>
    </row>
    <row r="67" spans="4:7" x14ac:dyDescent="0.55000000000000004">
      <c r="E67" s="118" t="s">
        <v>22</v>
      </c>
      <c r="F67" s="7">
        <f>0.02*F65</f>
        <v>507.50710431477444</v>
      </c>
      <c r="G67" t="s">
        <v>293</v>
      </c>
    </row>
    <row r="69" spans="4:7" x14ac:dyDescent="0.55000000000000004">
      <c r="E69" s="10" t="s">
        <v>124</v>
      </c>
      <c r="F69" s="7">
        <f>'U.S. Post-consumer Waste Mgmt'!F23*'U.S. Post-consumer Waste Mgmt'!P19*1000</f>
        <v>43855.233470678882</v>
      </c>
      <c r="G69" t="s">
        <v>101</v>
      </c>
    </row>
    <row r="70" spans="4:7" x14ac:dyDescent="0.55000000000000004">
      <c r="E70" s="118" t="s">
        <v>96</v>
      </c>
      <c r="F70" s="7">
        <f>0.98*F69</f>
        <v>42978.128801265302</v>
      </c>
      <c r="G70" t="s">
        <v>293</v>
      </c>
    </row>
    <row r="71" spans="4:7" x14ac:dyDescent="0.55000000000000004">
      <c r="E71" s="118" t="s">
        <v>22</v>
      </c>
      <c r="F71" s="7">
        <f>0.02*F69</f>
        <v>877.10466941357765</v>
      </c>
      <c r="G71" t="s">
        <v>293</v>
      </c>
    </row>
    <row r="73" spans="4:7" x14ac:dyDescent="0.55000000000000004">
      <c r="E73" s="119" t="s">
        <v>125</v>
      </c>
      <c r="F73" s="12">
        <f>F61+F65+F69</f>
        <v>221192.03664337247</v>
      </c>
    </row>
    <row r="74" spans="4:7" x14ac:dyDescent="0.55000000000000004">
      <c r="D74" s="8"/>
      <c r="E74" s="2" t="s">
        <v>255</v>
      </c>
      <c r="F74" s="8">
        <f>F62+F66+F70</f>
        <v>134589.49263668846</v>
      </c>
    </row>
    <row r="75" spans="4:7" x14ac:dyDescent="0.55000000000000004">
      <c r="E75" t="s">
        <v>256</v>
      </c>
      <c r="F75" s="151">
        <f>F63+F67+F71</f>
        <v>2746.7243395242549</v>
      </c>
    </row>
    <row r="76" spans="4:7" x14ac:dyDescent="0.55000000000000004">
      <c r="E76" s="292" t="s">
        <v>198</v>
      </c>
      <c r="F76" s="292"/>
      <c r="G76" s="292"/>
    </row>
    <row r="77" spans="4:7" x14ac:dyDescent="0.55000000000000004">
      <c r="E77" s="10" t="s">
        <v>211</v>
      </c>
      <c r="F77" s="12">
        <f>F45</f>
        <v>82476.724275</v>
      </c>
    </row>
    <row r="78" spans="4:7" x14ac:dyDescent="0.55000000000000004">
      <c r="E78" s="14" t="s">
        <v>104</v>
      </c>
      <c r="F78" s="8">
        <f>F77*0.16</f>
        <v>13196.275884000001</v>
      </c>
      <c r="G78" s="114">
        <v>0.16</v>
      </c>
    </row>
    <row r="79" spans="4:7" x14ac:dyDescent="0.55000000000000004">
      <c r="E79" s="118" t="s">
        <v>105</v>
      </c>
      <c r="F79" s="8">
        <f>0.98*F78</f>
        <v>12932.350366320001</v>
      </c>
      <c r="G79" t="s">
        <v>293</v>
      </c>
    </row>
    <row r="80" spans="4:7" x14ac:dyDescent="0.55000000000000004">
      <c r="E80" s="118" t="s">
        <v>106</v>
      </c>
      <c r="F80" s="116">
        <f>0.02*F78</f>
        <v>263.92551768000004</v>
      </c>
      <c r="G80" t="s">
        <v>293</v>
      </c>
    </row>
    <row r="81" spans="5:7" x14ac:dyDescent="0.55000000000000004">
      <c r="E81" t="s">
        <v>108</v>
      </c>
      <c r="F81" s="8">
        <f>F77-F78</f>
        <v>69280.448390999998</v>
      </c>
    </row>
    <row r="82" spans="5:7" x14ac:dyDescent="0.55000000000000004">
      <c r="E82" t="s">
        <v>266</v>
      </c>
      <c r="F82">
        <f>'Trade Data'!F90</f>
        <v>0</v>
      </c>
    </row>
    <row r="83" spans="5:7" x14ac:dyDescent="0.55000000000000004">
      <c r="E83" t="s">
        <v>267</v>
      </c>
      <c r="F83" s="8">
        <f>B25</f>
        <v>2056.3531855852925</v>
      </c>
    </row>
    <row r="84" spans="5:7" x14ac:dyDescent="0.55000000000000004">
      <c r="E84" s="292" t="s">
        <v>358</v>
      </c>
      <c r="F84" s="292"/>
      <c r="G84" s="292"/>
    </row>
    <row r="85" spans="5:7" x14ac:dyDescent="0.55000000000000004">
      <c r="E85" t="s">
        <v>213</v>
      </c>
      <c r="F85" s="8">
        <f>F81-F83+F55</f>
        <v>68603.190597574416</v>
      </c>
    </row>
    <row r="86" spans="5:7" x14ac:dyDescent="0.55000000000000004">
      <c r="E86" t="s">
        <v>394</v>
      </c>
      <c r="F86" s="8">
        <f>0.2*F85</f>
        <v>13720.638119514884</v>
      </c>
      <c r="G86" s="114">
        <v>0.2</v>
      </c>
    </row>
    <row r="87" spans="5:7" x14ac:dyDescent="0.55000000000000004">
      <c r="E87" s="118" t="s">
        <v>21</v>
      </c>
      <c r="F87" s="8">
        <f>0.98*F86</f>
        <v>13446.225357124586</v>
      </c>
      <c r="G87" t="s">
        <v>293</v>
      </c>
    </row>
    <row r="88" spans="5:7" x14ac:dyDescent="0.55000000000000004">
      <c r="E88" s="118" t="s">
        <v>22</v>
      </c>
      <c r="F88" s="8">
        <f>0.02*F86</f>
        <v>274.4127623902977</v>
      </c>
      <c r="G88" t="s">
        <v>293</v>
      </c>
    </row>
    <row r="90" spans="5:7" x14ac:dyDescent="0.55000000000000004">
      <c r="E90" t="s">
        <v>396</v>
      </c>
      <c r="F90" s="8">
        <f>F85-F86</f>
        <v>54882.55247805953</v>
      </c>
    </row>
    <row r="91" spans="5:7" x14ac:dyDescent="0.55000000000000004">
      <c r="E91" t="s">
        <v>410</v>
      </c>
      <c r="F91" s="8">
        <f>0.121*F90</f>
        <v>6640.788849845203</v>
      </c>
      <c r="G91" t="s">
        <v>582</v>
      </c>
    </row>
    <row r="92" spans="5:7" x14ac:dyDescent="0.55000000000000004">
      <c r="E92" t="s">
        <v>411</v>
      </c>
      <c r="F92" s="8">
        <f>0.401*F90</f>
        <v>22007.903543701872</v>
      </c>
      <c r="G92" t="s">
        <v>582</v>
      </c>
    </row>
    <row r="93" spans="5:7" x14ac:dyDescent="0.55000000000000004">
      <c r="E93" t="s">
        <v>412</v>
      </c>
      <c r="F93" s="8">
        <f>0.445*F90</f>
        <v>24422.735852736492</v>
      </c>
      <c r="G93" t="s">
        <v>582</v>
      </c>
    </row>
    <row r="94" spans="5:7" x14ac:dyDescent="0.55000000000000004">
      <c r="E94" t="s">
        <v>413</v>
      </c>
      <c r="F94" s="8">
        <f>0.032*F90</f>
        <v>1756.241679297905</v>
      </c>
      <c r="G94" t="s">
        <v>582</v>
      </c>
    </row>
    <row r="95" spans="5:7" x14ac:dyDescent="0.55000000000000004">
      <c r="F95" s="8"/>
    </row>
    <row r="97" spans="6:6" x14ac:dyDescent="0.55000000000000004">
      <c r="F97" s="13"/>
    </row>
    <row r="98" spans="6:6" x14ac:dyDescent="0.55000000000000004">
      <c r="F98" s="13"/>
    </row>
    <row r="100" spans="6:6" x14ac:dyDescent="0.55000000000000004">
      <c r="F100" s="8">
        <f>F90-HDPE_MFA!F90</f>
        <v>19142.329247999995</v>
      </c>
    </row>
  </sheetData>
  <mergeCells count="9">
    <mergeCell ref="C2:C3"/>
    <mergeCell ref="C6:C7"/>
    <mergeCell ref="A15:A16"/>
    <mergeCell ref="A17:A18"/>
    <mergeCell ref="M21:M22"/>
    <mergeCell ref="S21:S22"/>
    <mergeCell ref="E40:G40"/>
    <mergeCell ref="E76:G76"/>
    <mergeCell ref="E84:G84"/>
  </mergeCells>
  <phoneticPr fontId="17" type="noConversion"/>
  <hyperlinks>
    <hyperlink ref="C2" r:id="rId1" location="eyJhcHBpZCI6OTksInN0ZXBzIjpbMSwyNCwyOSwyNSwyNiwyNyw0MF0sImRhdGEiOltbIlRhYmxlSWQiLCI1MDUiXSxbIkNsYXNzaWZpY2F0aW9uIiwiTkFJQ1MiXSxbIlJlYWxfVGFibGVfSWQiLCI1MDUiXSxbIk1ham9yQXJlYUtleSIsIjAiXSxbIkxpbmUiLCIzMyJdLFsiU3RhdGUiLCIwIl0sWyJVbml0X29mX01lYXN1cmUiLCJMZXZlbHMiXSxbIk1hcENvbG9yIiwiQkVBU3RhbmRhcmQiXSxbIm5SYW5nZSIsIjUiXSxbIlllYXIiLCIyMDE5Il0sWyJZZWFyQmVnaW4iLCItMSJdLFsiWWVhckVuZCIsIi0xIl1dfQ==" xr:uid="{EF41D046-6A5C-4D5B-AE55-A79657C238E8}"/>
    <hyperlink ref="D31" r:id="rId2" xr:uid="{45D353E6-CEBB-41CC-9739-9416A8DEE091}"/>
    <hyperlink ref="D32" r:id="rId3" xr:uid="{D25AC3B2-4CF9-4642-ACF7-97B94F90988C}"/>
    <hyperlink ref="C6:C7" r:id="rId4" display="Source" xr:uid="{7EAE05BA-43B5-4320-A9F9-F6568B168140}"/>
  </hyperlinks>
  <pageMargins left="0.7" right="0.7" top="0.75" bottom="0.75" header="0.3" footer="0.3"/>
  <pageSetup orientation="portrait" r:id="rId5"/>
  <legacy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3E99-2EB3-435A-81AB-0A36A778CC3A}">
  <dimension ref="A1:S62"/>
  <sheetViews>
    <sheetView topLeftCell="A18" zoomScale="80" zoomScaleNormal="80" workbookViewId="0">
      <selection activeCell="J3" sqref="J3"/>
    </sheetView>
  </sheetViews>
  <sheetFormatPr defaultRowHeight="14.4" x14ac:dyDescent="0.55000000000000004"/>
  <cols>
    <col min="1" max="1" width="69.20703125" bestFit="1" customWidth="1"/>
    <col min="2" max="2" width="13.3125" customWidth="1"/>
    <col min="3" max="3" width="9.3125" bestFit="1" customWidth="1"/>
    <col min="4" max="4" width="10.7890625" bestFit="1" customWidth="1"/>
    <col min="5" max="5" width="53.68359375" bestFit="1" customWidth="1"/>
    <col min="6" max="6" width="11.1015625" customWidth="1"/>
    <col min="7" max="7" width="51" customWidth="1"/>
    <col min="9" max="9" width="11.20703125" bestFit="1" customWidth="1"/>
    <col min="10" max="10" width="11.7890625" customWidth="1"/>
    <col min="13" max="13" width="29" bestFit="1" customWidth="1"/>
    <col min="14" max="14" width="13.68359375" bestFit="1" customWidth="1"/>
    <col min="15" max="15" width="11.1015625" customWidth="1"/>
    <col min="17" max="17" width="29.68359375" bestFit="1" customWidth="1"/>
    <col min="18" max="18" width="17.7890625" bestFit="1" customWidth="1"/>
    <col min="19" max="19" width="9.1015625" bestFit="1" customWidth="1"/>
  </cols>
  <sheetData>
    <row r="1" spans="1:19" x14ac:dyDescent="0.55000000000000004">
      <c r="A1" s="122"/>
      <c r="C1" s="10" t="s">
        <v>162</v>
      </c>
    </row>
    <row r="2" spans="1:19" ht="14.7" thickBot="1" x14ac:dyDescent="0.6">
      <c r="A2" s="122" t="s">
        <v>619</v>
      </c>
      <c r="B2" s="7">
        <v>4073.1</v>
      </c>
      <c r="C2" s="295" t="s">
        <v>85</v>
      </c>
      <c r="F2" s="9" t="s">
        <v>428</v>
      </c>
    </row>
    <row r="3" spans="1:19" ht="14.7" thickBot="1" x14ac:dyDescent="0.6">
      <c r="A3" s="122" t="s">
        <v>172</v>
      </c>
      <c r="B3" s="7">
        <v>83799</v>
      </c>
      <c r="C3" s="295"/>
      <c r="E3" s="106" t="s">
        <v>214</v>
      </c>
      <c r="F3" s="113">
        <f>B12*B10*1000000</f>
        <v>655201.2803367672</v>
      </c>
      <c r="I3" s="107"/>
    </row>
    <row r="4" spans="1:19" ht="14.7" thickBot="1" x14ac:dyDescent="0.6">
      <c r="A4" s="140" t="s">
        <v>173</v>
      </c>
      <c r="B4" s="139">
        <f>B2/B3</f>
        <v>4.8605591952171269E-2</v>
      </c>
      <c r="N4" s="7"/>
    </row>
    <row r="5" spans="1:19" ht="29.1" thickBot="1" x14ac:dyDescent="0.6">
      <c r="A5" s="122"/>
      <c r="D5" s="8"/>
      <c r="E5" s="109" t="s">
        <v>78</v>
      </c>
      <c r="F5" s="7">
        <f>0.02*F3</f>
        <v>13104.025606735344</v>
      </c>
      <c r="G5" s="115" t="s">
        <v>222</v>
      </c>
      <c r="N5" s="163" t="s">
        <v>284</v>
      </c>
      <c r="O5" s="9" t="s">
        <v>428</v>
      </c>
      <c r="R5" s="21" t="s">
        <v>353</v>
      </c>
    </row>
    <row r="6" spans="1:19" ht="14.7" thickBot="1" x14ac:dyDescent="0.6">
      <c r="A6" s="122" t="s">
        <v>174</v>
      </c>
      <c r="B6" s="7">
        <v>46989</v>
      </c>
      <c r="C6" s="294" t="s">
        <v>85</v>
      </c>
      <c r="E6" s="112" t="s">
        <v>109</v>
      </c>
      <c r="F6" s="7">
        <f>0.006*F5</f>
        <v>78.624153640412061</v>
      </c>
      <c r="G6" s="153" t="s">
        <v>216</v>
      </c>
      <c r="M6" t="s">
        <v>404</v>
      </c>
      <c r="N6" s="7">
        <f>(0.73*F3*'Virgin Resins_LCIA'!E7)+(0.27*LDPE_LLDPE_MFA!F3*'Virgin Resins_LCIA'!E6)</f>
        <v>1044521.8811128743</v>
      </c>
      <c r="Q6" t="s">
        <v>404</v>
      </c>
      <c r="R6" s="7">
        <f>(0.73*F3*'Virgin Resins_LCIA'!F7)+(0.27*F3*'Virgin Resins_LCIA'!F6)</f>
        <v>49025435801.198608</v>
      </c>
    </row>
    <row r="7" spans="1:19" ht="14.7" thickBot="1" x14ac:dyDescent="0.6">
      <c r="A7" s="122" t="s">
        <v>175</v>
      </c>
      <c r="B7" s="7">
        <v>655529</v>
      </c>
      <c r="C7" s="294"/>
      <c r="E7" s="109" t="s">
        <v>79</v>
      </c>
      <c r="F7" s="7">
        <f>F8+F10</f>
        <v>471744.92184247239</v>
      </c>
      <c r="G7" s="106"/>
      <c r="K7" s="8"/>
      <c r="L7" s="8"/>
      <c r="M7" t="s">
        <v>78</v>
      </c>
      <c r="N7" s="8">
        <f>(F5-F6)*'Semi-mfg._LCIA'!E5</f>
        <v>13416.163496687779</v>
      </c>
      <c r="O7" s="8">
        <f>(F5-F6)</f>
        <v>13025.401453094932</v>
      </c>
      <c r="Q7" t="s">
        <v>78</v>
      </c>
      <c r="R7" s="8">
        <f>(F5-F6)*('Semi-mfg._LCIA'!F5*1000)</f>
        <v>341265518.07108718</v>
      </c>
      <c r="S7" s="11"/>
    </row>
    <row r="8" spans="1:19" ht="14.7" thickBot="1" x14ac:dyDescent="0.6">
      <c r="A8" s="140" t="s">
        <v>84</v>
      </c>
      <c r="B8" s="139">
        <f>B6/B7</f>
        <v>7.168103928277772E-2</v>
      </c>
      <c r="D8" s="8"/>
      <c r="E8" s="112" t="s">
        <v>80</v>
      </c>
      <c r="F8" s="7">
        <f>0.59*F3</f>
        <v>386568.75539869262</v>
      </c>
      <c r="G8" s="115" t="s">
        <v>223</v>
      </c>
      <c r="K8" s="8"/>
      <c r="L8" s="8"/>
      <c r="M8" t="s">
        <v>274</v>
      </c>
      <c r="N8" s="8">
        <f>SUM(N9:N10)</f>
        <v>186377.32442618976</v>
      </c>
      <c r="O8" s="8">
        <f>SUM(O9:O10)</f>
        <v>462169.1551303505</v>
      </c>
      <c r="Q8" t="s">
        <v>274</v>
      </c>
      <c r="R8" s="8">
        <f>SUM(R9:R10)</f>
        <v>4789034348.150094</v>
      </c>
    </row>
    <row r="9" spans="1:19" ht="14.7" thickBot="1" x14ac:dyDescent="0.6">
      <c r="A9" s="122"/>
      <c r="D9" s="8"/>
      <c r="E9" s="118" t="s">
        <v>109</v>
      </c>
      <c r="F9" s="7">
        <f>0.024*F8</f>
        <v>9277.650129568623</v>
      </c>
      <c r="G9" t="s">
        <v>110</v>
      </c>
      <c r="K9" s="8"/>
      <c r="L9" s="8"/>
      <c r="M9" s="118" t="s">
        <v>278</v>
      </c>
      <c r="N9" s="8">
        <f>(F8-F9)*'Semi-mfg._LCIA'!E9</f>
        <v>155821.22647614821</v>
      </c>
      <c r="O9" s="149">
        <f>(F8-F9)</f>
        <v>377291.10526912397</v>
      </c>
      <c r="Q9" s="118" t="s">
        <v>278</v>
      </c>
      <c r="R9" s="8">
        <f>(F8-F9)*('Semi-mfg._LCIA'!F9*1000)</f>
        <v>4037014826.3796268</v>
      </c>
    </row>
    <row r="10" spans="1:19" ht="14.7" thickBot="1" x14ac:dyDescent="0.6">
      <c r="A10" s="141" t="s">
        <v>601</v>
      </c>
      <c r="B10" s="142">
        <f>AVERAGE(B4,B8)</f>
        <v>6.0143315617474491E-2</v>
      </c>
      <c r="E10" s="112" t="s">
        <v>215</v>
      </c>
      <c r="F10" s="7">
        <f>0.13*F3</f>
        <v>85176.166443779744</v>
      </c>
      <c r="G10" s="115" t="s">
        <v>224</v>
      </c>
      <c r="M10" s="118" t="s">
        <v>215</v>
      </c>
      <c r="N10" s="8">
        <f>(F10-F11)*'Semi-mfg._LCIA'!E12</f>
        <v>30556.097950041552</v>
      </c>
      <c r="O10" s="149">
        <f>(F10-F11)</f>
        <v>84878.049861226522</v>
      </c>
      <c r="Q10" s="118" t="s">
        <v>215</v>
      </c>
      <c r="R10" s="11">
        <f>(F10-F11)*('Semi-mfg._LCIA'!F12*1000)</f>
        <v>752019521.77046704</v>
      </c>
    </row>
    <row r="11" spans="1:19" ht="14.7" thickBot="1" x14ac:dyDescent="0.6">
      <c r="E11" s="118" t="s">
        <v>109</v>
      </c>
      <c r="F11" s="7">
        <f>0.0035*F10</f>
        <v>298.11658255322914</v>
      </c>
      <c r="G11" s="110" t="s">
        <v>217</v>
      </c>
      <c r="M11" t="s">
        <v>281</v>
      </c>
      <c r="N11" s="8">
        <f>(F12-F13)*'Semi-mfg._LCIA'!N7</f>
        <v>114100.42154101741</v>
      </c>
      <c r="O11" s="8">
        <f>(F12-F13)</f>
        <v>169176.90179063534</v>
      </c>
      <c r="Q11" t="s">
        <v>281</v>
      </c>
      <c r="R11" s="8">
        <f>(F12-F13)*('Semi-mfg._LCIA'!O7*1000)</f>
        <v>2738410116.984417</v>
      </c>
    </row>
    <row r="12" spans="1:19" ht="14.7" thickBot="1" x14ac:dyDescent="0.6">
      <c r="A12" s="106" t="s">
        <v>303</v>
      </c>
      <c r="B12" s="112">
        <v>10.894</v>
      </c>
      <c r="C12" t="s">
        <v>584</v>
      </c>
      <c r="D12" s="8"/>
      <c r="E12" s="109" t="s">
        <v>83</v>
      </c>
      <c r="F12" s="7">
        <f>0.26*F3</f>
        <v>170352.33288755949</v>
      </c>
      <c r="G12" s="115" t="s">
        <v>225</v>
      </c>
      <c r="M12" t="s">
        <v>275</v>
      </c>
      <c r="N12" s="8">
        <f>(F15+F54+F19)*EOL_LCIA!D10</f>
        <v>11841.528280378961</v>
      </c>
      <c r="O12" s="8">
        <f>(F15+F54+F19)</f>
        <v>538251.28547177103</v>
      </c>
      <c r="Q12" t="s">
        <v>275</v>
      </c>
      <c r="R12" s="8">
        <f>(F15+F54+F19)*(EOL_LCIA!E10*1000)</f>
        <v>166857898.49624902</v>
      </c>
    </row>
    <row r="13" spans="1:19" x14ac:dyDescent="0.55000000000000004">
      <c r="E13" s="118" t="s">
        <v>109</v>
      </c>
      <c r="F13" s="8">
        <f>0.0069*F12</f>
        <v>1175.4310969241606</v>
      </c>
      <c r="G13" s="110">
        <v>6.8999999999999999E-3</v>
      </c>
      <c r="M13" s="122" t="s">
        <v>276</v>
      </c>
      <c r="N13" s="8">
        <f>(F16+F55+F20)*EOL_LCIA!I9</f>
        <v>15635.963816986869</v>
      </c>
      <c r="O13" s="8">
        <f>(F16+F55+F20)</f>
        <v>11011.24212463864</v>
      </c>
      <c r="Q13" s="122" t="s">
        <v>276</v>
      </c>
      <c r="R13" s="8">
        <f>(F16+F55+F20)*(EOL_LCIA!J10*1000)</f>
        <v>-240155190.73836878</v>
      </c>
    </row>
    <row r="14" spans="1:19" x14ac:dyDescent="0.55000000000000004">
      <c r="E14" s="2" t="s">
        <v>115</v>
      </c>
      <c r="F14" s="8">
        <f>F6+F9+F11+F13</f>
        <v>10829.821962686427</v>
      </c>
      <c r="G14" s="7"/>
      <c r="I14" s="8"/>
      <c r="M14" t="s">
        <v>283</v>
      </c>
      <c r="N14" s="8">
        <f>F44*EOL_LCIA!I21</f>
        <v>566.99062500000002</v>
      </c>
      <c r="O14" s="8">
        <f>F44</f>
        <v>22679.625</v>
      </c>
      <c r="Q14" t="s">
        <v>283</v>
      </c>
      <c r="R14" s="8">
        <f>F44*EOL_LCIA!J21</f>
        <v>3628740</v>
      </c>
    </row>
    <row r="15" spans="1:19" x14ac:dyDescent="0.55000000000000004">
      <c r="A15" t="s">
        <v>379</v>
      </c>
      <c r="D15" s="8"/>
      <c r="E15" s="118" t="s">
        <v>120</v>
      </c>
      <c r="F15" s="8">
        <f>(0.86*F14)</f>
        <v>9313.6468879103268</v>
      </c>
      <c r="G15" s="110" t="s">
        <v>573</v>
      </c>
      <c r="M15" t="s">
        <v>199</v>
      </c>
      <c r="N15" s="8">
        <f>F18*(EOL_LCIA!L31/2)</f>
        <v>257.31656983342953</v>
      </c>
      <c r="O15" s="8">
        <f>F18</f>
        <v>1169.620771970134</v>
      </c>
      <c r="Q15" t="s">
        <v>199</v>
      </c>
      <c r="R15" s="8">
        <f>F18*(EOL_LCIA!M31/2)</f>
        <v>4216482.8829523334</v>
      </c>
    </row>
    <row r="16" spans="1:19" x14ac:dyDescent="0.55000000000000004">
      <c r="A16" t="s">
        <v>380</v>
      </c>
      <c r="E16" s="118" t="s">
        <v>22</v>
      </c>
      <c r="F16" s="8">
        <f>(0.02*F14)</f>
        <v>216.59643925372853</v>
      </c>
      <c r="G16" s="110" t="s">
        <v>573</v>
      </c>
      <c r="M16" t="s">
        <v>379</v>
      </c>
      <c r="N16" s="7">
        <f>(1.7*10^6)*B19</f>
        <v>23904.359430604985</v>
      </c>
      <c r="Q16" t="s">
        <v>379</v>
      </c>
      <c r="R16" s="7">
        <f>(22.6*10^9)*B19</f>
        <v>317787366.54804271</v>
      </c>
    </row>
    <row r="17" spans="1:19" x14ac:dyDescent="0.55000000000000004">
      <c r="A17" t="s">
        <v>381</v>
      </c>
      <c r="B17" s="7">
        <f>3161000*0.907185</f>
        <v>2867611.7850000001</v>
      </c>
      <c r="C17" t="s">
        <v>103</v>
      </c>
      <c r="D17" s="3" t="s">
        <v>85</v>
      </c>
      <c r="E17" s="118" t="s">
        <v>367</v>
      </c>
      <c r="F17" s="7">
        <f>0.12*F14</f>
        <v>1299.5786355223711</v>
      </c>
      <c r="G17" s="110" t="s">
        <v>573</v>
      </c>
      <c r="M17" s="291" t="s">
        <v>261</v>
      </c>
      <c r="N17" s="8">
        <f>N7+N8++N11+N12+N13+N14+N15+N16</f>
        <v>366100.06818669918</v>
      </c>
      <c r="O17" t="s">
        <v>348</v>
      </c>
      <c r="Q17" s="291" t="s">
        <v>261</v>
      </c>
      <c r="R17" s="8">
        <f>R7+R8++R11+R12+R13+R14+R15+R16</f>
        <v>8121045280.3944731</v>
      </c>
      <c r="S17" t="s">
        <v>354</v>
      </c>
    </row>
    <row r="18" spans="1:19" ht="86.4" x14ac:dyDescent="0.55000000000000004">
      <c r="A18" t="s">
        <v>382</v>
      </c>
      <c r="B18" s="7">
        <f>(224.8*0.907185*10^6)</f>
        <v>203935188</v>
      </c>
      <c r="C18" t="s">
        <v>103</v>
      </c>
      <c r="D18" s="3" t="s">
        <v>85</v>
      </c>
      <c r="E18" s="118" t="s">
        <v>347</v>
      </c>
      <c r="F18" s="7">
        <f>0.9*F17</f>
        <v>1169.620771970134</v>
      </c>
      <c r="G18" s="270" t="s">
        <v>478</v>
      </c>
      <c r="M18" s="291"/>
      <c r="N18" s="204">
        <f>N17/10^6</f>
        <v>0.36610006818669916</v>
      </c>
      <c r="O18" t="s">
        <v>287</v>
      </c>
      <c r="P18" s="8"/>
      <c r="Q18" s="291"/>
      <c r="R18" s="11">
        <f>R17/10^9</f>
        <v>8.1210452803944726</v>
      </c>
      <c r="S18" t="s">
        <v>356</v>
      </c>
    </row>
    <row r="19" spans="1:19" x14ac:dyDescent="0.55000000000000004">
      <c r="A19" t="s">
        <v>383</v>
      </c>
      <c r="B19" s="190">
        <f>B17/B18</f>
        <v>1.4061387900355873E-2</v>
      </c>
      <c r="E19" s="118" t="s">
        <v>120</v>
      </c>
      <c r="F19" s="7">
        <f>(0.98*0.1*F17)</f>
        <v>127.35870628119237</v>
      </c>
      <c r="G19" t="s">
        <v>293</v>
      </c>
    </row>
    <row r="20" spans="1:19" ht="28.8" x14ac:dyDescent="0.55000000000000004">
      <c r="C20" s="8"/>
      <c r="E20" s="118" t="s">
        <v>22</v>
      </c>
      <c r="F20" s="7">
        <f>(0.02*0.1*F17)</f>
        <v>2.5991572710447421</v>
      </c>
      <c r="G20" t="s">
        <v>293</v>
      </c>
      <c r="M20" s="152" t="s">
        <v>372</v>
      </c>
      <c r="N20">
        <v>29.4</v>
      </c>
      <c r="O20" t="s">
        <v>287</v>
      </c>
      <c r="Q20" s="152" t="s">
        <v>355</v>
      </c>
      <c r="R20" s="1">
        <v>3039</v>
      </c>
      <c r="S20" t="s">
        <v>356</v>
      </c>
    </row>
    <row r="21" spans="1:19" ht="28.8" x14ac:dyDescent="0.55000000000000004">
      <c r="C21" s="8"/>
      <c r="E21" t="s">
        <v>270</v>
      </c>
      <c r="F21" s="116">
        <f>'Trade Data'!F16/1000</f>
        <v>525.31862999999998</v>
      </c>
      <c r="M21" s="152" t="s">
        <v>350</v>
      </c>
      <c r="N21">
        <v>190.89</v>
      </c>
      <c r="O21" t="s">
        <v>287</v>
      </c>
      <c r="Q21" s="152" t="s">
        <v>357</v>
      </c>
      <c r="R21" s="165">
        <v>744.02538730000003</v>
      </c>
      <c r="S21" t="s">
        <v>356</v>
      </c>
    </row>
    <row r="22" spans="1:19" x14ac:dyDescent="0.55000000000000004">
      <c r="E22" t="s">
        <v>271</v>
      </c>
      <c r="F22" s="116">
        <f>'Trade Data'!D16/1000</f>
        <v>265.66030999999998</v>
      </c>
      <c r="M22" s="152"/>
      <c r="Q22" s="152"/>
      <c r="R22" s="1"/>
    </row>
    <row r="23" spans="1:19" ht="28.8" x14ac:dyDescent="0.55000000000000004">
      <c r="E23" t="s">
        <v>185</v>
      </c>
      <c r="F23" s="116">
        <f>F21-F22</f>
        <v>259.65832</v>
      </c>
      <c r="G23" t="s">
        <v>186</v>
      </c>
      <c r="M23" s="152"/>
      <c r="Q23" s="152" t="s">
        <v>376</v>
      </c>
      <c r="R23" s="1">
        <v>1072.8</v>
      </c>
      <c r="S23" t="s">
        <v>356</v>
      </c>
    </row>
    <row r="24" spans="1:19" ht="28.8" x14ac:dyDescent="0.55000000000000004">
      <c r="E24" t="s">
        <v>187</v>
      </c>
      <c r="F24" s="8">
        <f>F5+F7+F12-F14+F21</f>
        <v>644896.77700408082</v>
      </c>
      <c r="M24" s="152" t="s">
        <v>369</v>
      </c>
      <c r="N24" s="164">
        <f>N18/N20</f>
        <v>1.2452383271656434E-2</v>
      </c>
    </row>
    <row r="25" spans="1:19" ht="28.8" x14ac:dyDescent="0.55000000000000004">
      <c r="E25" s="152" t="s">
        <v>188</v>
      </c>
      <c r="F25" s="7">
        <f>F22+F53</f>
        <v>562547.61171569326</v>
      </c>
      <c r="M25" s="152" t="s">
        <v>368</v>
      </c>
      <c r="N25" s="164">
        <f>N18/N21</f>
        <v>1.9178588097160626E-3</v>
      </c>
      <c r="Q25" s="152" t="s">
        <v>369</v>
      </c>
      <c r="R25" s="164">
        <f>R18/R23</f>
        <v>7.5699527222170705E-3</v>
      </c>
    </row>
    <row r="26" spans="1:19" ht="28.8" x14ac:dyDescent="0.55000000000000004">
      <c r="E26" t="s">
        <v>192</v>
      </c>
      <c r="F26" s="8">
        <f>F24-F25</f>
        <v>82349.165288387565</v>
      </c>
      <c r="Q26" s="152" t="s">
        <v>388</v>
      </c>
      <c r="R26" s="164">
        <f>R18/R20</f>
        <v>2.6722755118112774E-3</v>
      </c>
    </row>
    <row r="27" spans="1:19" ht="43.2" x14ac:dyDescent="0.55000000000000004">
      <c r="N27" s="8"/>
      <c r="Q27" s="152" t="s">
        <v>389</v>
      </c>
      <c r="R27" s="164">
        <f>R18/R21</f>
        <v>1.0915010991580544E-2</v>
      </c>
    </row>
    <row r="28" spans="1:19" x14ac:dyDescent="0.55000000000000004">
      <c r="A28" t="s">
        <v>586</v>
      </c>
      <c r="B28" s="254">
        <v>0.90718500000000002</v>
      </c>
      <c r="C28" t="s">
        <v>103</v>
      </c>
      <c r="E28" s="292" t="s">
        <v>87</v>
      </c>
      <c r="F28" s="292"/>
      <c r="G28" s="292"/>
      <c r="N28" s="8"/>
    </row>
    <row r="29" spans="1:19" x14ac:dyDescent="0.55000000000000004">
      <c r="E29" s="10" t="s">
        <v>97</v>
      </c>
      <c r="N29" s="11"/>
    </row>
    <row r="30" spans="1:19" x14ac:dyDescent="0.55000000000000004">
      <c r="D30" s="7"/>
      <c r="E30" t="s">
        <v>127</v>
      </c>
      <c r="F30" s="7">
        <f>409800*B28</f>
        <v>371764.413</v>
      </c>
      <c r="G30" t="s">
        <v>88</v>
      </c>
      <c r="R30" s="8"/>
    </row>
    <row r="31" spans="1:19" x14ac:dyDescent="0.55000000000000004">
      <c r="E31" t="s">
        <v>129</v>
      </c>
      <c r="F31" s="7">
        <f>25000*B28</f>
        <v>22679.625</v>
      </c>
      <c r="G31" t="s">
        <v>294</v>
      </c>
    </row>
    <row r="32" spans="1:19" x14ac:dyDescent="0.55000000000000004">
      <c r="E32" t="s">
        <v>128</v>
      </c>
      <c r="F32" s="7">
        <f>(F30/0.98)*0.02</f>
        <v>7587.0288367346948</v>
      </c>
      <c r="G32" t="s">
        <v>293</v>
      </c>
    </row>
    <row r="33" spans="4:11" x14ac:dyDescent="0.55000000000000004">
      <c r="E33" t="s">
        <v>130</v>
      </c>
      <c r="F33" s="7">
        <f>F30+F32+F31</f>
        <v>402031.06683673471</v>
      </c>
    </row>
    <row r="35" spans="4:11" x14ac:dyDescent="0.55000000000000004">
      <c r="E35" t="s">
        <v>65</v>
      </c>
      <c r="F35" s="7">
        <f>'U.S. Post-consumer Waste Mgmt'!E46*'U.S. Post-consumer Waste Mgmt'!P19*1000</f>
        <v>1103.2763137277707</v>
      </c>
      <c r="G35" t="s">
        <v>101</v>
      </c>
    </row>
    <row r="36" spans="4:11" x14ac:dyDescent="0.55000000000000004">
      <c r="E36" s="118" t="s">
        <v>120</v>
      </c>
      <c r="F36" s="8">
        <f>0.98*F35</f>
        <v>1081.2107874532153</v>
      </c>
      <c r="G36" t="s">
        <v>293</v>
      </c>
    </row>
    <row r="37" spans="4:11" x14ac:dyDescent="0.55000000000000004">
      <c r="E37" s="118" t="s">
        <v>121</v>
      </c>
      <c r="F37" s="8">
        <f>0.02*F35</f>
        <v>22.065526274555413</v>
      </c>
      <c r="G37" t="s">
        <v>293</v>
      </c>
      <c r="I37" s="8"/>
      <c r="J37" s="13"/>
      <c r="K37" s="8"/>
    </row>
    <row r="38" spans="4:11" x14ac:dyDescent="0.55000000000000004">
      <c r="E38" t="s">
        <v>68</v>
      </c>
      <c r="F38" s="7">
        <f>'U.S. Post-consumer Waste Mgmt'!E48*'U.S. Post-consumer Waste Mgmt'!P19*1000</f>
        <v>25099.536137306783</v>
      </c>
      <c r="G38" t="s">
        <v>101</v>
      </c>
    </row>
    <row r="39" spans="4:11" x14ac:dyDescent="0.55000000000000004">
      <c r="D39" s="8"/>
      <c r="E39" s="118" t="s">
        <v>120</v>
      </c>
      <c r="F39" s="8">
        <f>0.98*F38</f>
        <v>24597.545414560645</v>
      </c>
      <c r="G39" t="s">
        <v>293</v>
      </c>
    </row>
    <row r="40" spans="4:11" x14ac:dyDescent="0.55000000000000004">
      <c r="E40" s="118" t="s">
        <v>121</v>
      </c>
      <c r="F40" s="8">
        <f>0.02*F38</f>
        <v>501.99072274613565</v>
      </c>
      <c r="G40" t="s">
        <v>293</v>
      </c>
    </row>
    <row r="41" spans="4:11" x14ac:dyDescent="0.55000000000000004">
      <c r="E41" s="10" t="s">
        <v>257</v>
      </c>
      <c r="F41" s="12">
        <f>F33+F35+F38</f>
        <v>428233.87928776926</v>
      </c>
    </row>
    <row r="42" spans="4:11" x14ac:dyDescent="0.55000000000000004">
      <c r="E42" s="118" t="s">
        <v>240</v>
      </c>
      <c r="F42" s="8">
        <f>F30+F36+F39</f>
        <v>397443.16920201387</v>
      </c>
    </row>
    <row r="43" spans="4:11" x14ac:dyDescent="0.55000000000000004">
      <c r="E43" s="118" t="s">
        <v>241</v>
      </c>
      <c r="F43" s="8">
        <f>F32+F37+F40</f>
        <v>8111.085085755386</v>
      </c>
    </row>
    <row r="44" spans="4:11" x14ac:dyDescent="0.55000000000000004">
      <c r="E44" s="118" t="s">
        <v>282</v>
      </c>
      <c r="F44" s="8">
        <f>F31</f>
        <v>22679.625</v>
      </c>
    </row>
    <row r="46" spans="4:11" x14ac:dyDescent="0.55000000000000004">
      <c r="E46" s="10" t="s">
        <v>258</v>
      </c>
      <c r="F46" s="154">
        <f>'U.S. Post-consumer Waste Mgmt'!F19*'U.S. Post-consumer Waste Mgmt'!P19*1000</f>
        <v>75298.608411920344</v>
      </c>
      <c r="G46" t="s">
        <v>101</v>
      </c>
    </row>
    <row r="47" spans="4:11" x14ac:dyDescent="0.55000000000000004">
      <c r="E47" s="118" t="s">
        <v>21</v>
      </c>
      <c r="F47" s="8">
        <f>0.98*F46</f>
        <v>73792.636243681933</v>
      </c>
      <c r="G47" t="s">
        <v>293</v>
      </c>
    </row>
    <row r="48" spans="4:11" x14ac:dyDescent="0.55000000000000004">
      <c r="E48" s="118" t="s">
        <v>22</v>
      </c>
      <c r="F48" s="8">
        <f>0.02*F46</f>
        <v>1505.972168238407</v>
      </c>
      <c r="G48" t="s">
        <v>293</v>
      </c>
    </row>
    <row r="49" spans="4:7" x14ac:dyDescent="0.55000000000000004">
      <c r="E49" s="10" t="s">
        <v>259</v>
      </c>
      <c r="F49" s="154">
        <f>'U.S. Post-consumer Waste Mgmt'!F24*'U.S. Post-consumer Waste Mgmt'!P19*1000</f>
        <v>58749.463706003778</v>
      </c>
      <c r="G49" t="s">
        <v>101</v>
      </c>
    </row>
    <row r="50" spans="4:7" x14ac:dyDescent="0.55000000000000004">
      <c r="E50" s="118" t="s">
        <v>21</v>
      </c>
      <c r="F50" s="8">
        <f>0.98*F49</f>
        <v>57574.474431883704</v>
      </c>
      <c r="G50" t="s">
        <v>293</v>
      </c>
    </row>
    <row r="51" spans="4:7" x14ac:dyDescent="0.55000000000000004">
      <c r="D51" s="8"/>
      <c r="E51" s="118" t="s">
        <v>22</v>
      </c>
      <c r="F51" s="8">
        <f>0.02*F49</f>
        <v>1174.9892741200756</v>
      </c>
      <c r="G51" t="s">
        <v>293</v>
      </c>
    </row>
    <row r="52" spans="4:7" x14ac:dyDescent="0.55000000000000004">
      <c r="D52" s="8"/>
    </row>
    <row r="53" spans="4:7" x14ac:dyDescent="0.55000000000000004">
      <c r="D53" s="8"/>
      <c r="E53" s="10" t="s">
        <v>260</v>
      </c>
      <c r="F53" s="12">
        <f>F41+F46+F49</f>
        <v>562281.95140569331</v>
      </c>
    </row>
    <row r="54" spans="4:7" x14ac:dyDescent="0.55000000000000004">
      <c r="E54" s="2" t="s">
        <v>255</v>
      </c>
      <c r="F54" s="8">
        <f>F42+F47+F50</f>
        <v>528810.27987757954</v>
      </c>
    </row>
    <row r="55" spans="4:7" x14ac:dyDescent="0.55000000000000004">
      <c r="E55" t="s">
        <v>256</v>
      </c>
      <c r="F55" s="8">
        <f>F43+F48+F51</f>
        <v>10792.046528113868</v>
      </c>
    </row>
    <row r="56" spans="4:7" x14ac:dyDescent="0.55000000000000004">
      <c r="E56" s="292"/>
      <c r="F56" s="292"/>
      <c r="G56" s="292"/>
    </row>
    <row r="57" spans="4:7" x14ac:dyDescent="0.55000000000000004">
      <c r="E57" t="s">
        <v>266</v>
      </c>
      <c r="F57">
        <f>'Trade Data'!F90</f>
        <v>0</v>
      </c>
    </row>
    <row r="58" spans="4:7" x14ac:dyDescent="0.55000000000000004">
      <c r="E58" t="s">
        <v>267</v>
      </c>
      <c r="F58" s="7">
        <f>HDPE_MFA!B26</f>
        <v>997.98181441471024</v>
      </c>
    </row>
    <row r="60" spans="4:7" x14ac:dyDescent="0.55000000000000004">
      <c r="E60" t="s">
        <v>366</v>
      </c>
      <c r="F60" s="8">
        <f>F44-F58</f>
        <v>21681.64318558529</v>
      </c>
    </row>
    <row r="62" spans="4:7" x14ac:dyDescent="0.55000000000000004">
      <c r="F62" s="8"/>
    </row>
  </sheetData>
  <mergeCells count="6">
    <mergeCell ref="Q17:Q18"/>
    <mergeCell ref="C2:C3"/>
    <mergeCell ref="C6:C7"/>
    <mergeCell ref="E28:G28"/>
    <mergeCell ref="E56:G56"/>
    <mergeCell ref="M17:M18"/>
  </mergeCells>
  <hyperlinks>
    <hyperlink ref="C2" r:id="rId1" location="eyJhcHBpZCI6OTksInN0ZXBzIjpbMSwyNCwyOSwyNSwyNiwyNyw0MF0sImRhdGEiOltbIlRhYmxlSWQiLCI1MDUiXSxbIkNsYXNzaWZpY2F0aW9uIiwiTkFJQ1MiXSxbIlJlYWxfVGFibGVfSWQiLCI1MDUiXSxbIk1ham9yQXJlYUtleSIsIjAiXSxbIkxpbmUiLCIzMyJdLFsiU3RhdGUiLCIwIl0sWyJVbml0X29mX01lYXN1cmUiLCJMZXZlbHMiXSxbIk1hcENvbG9yIiwiQkVBU3RhbmRhcmQiXSxbIm5SYW5nZSIsIjUiXSxbIlllYXIiLCIyMDE5Il0sWyJZZWFyQmVnaW4iLCItMSJdLFsiWWVhckVuZCIsIi0xIl1dfQ==" xr:uid="{060439FC-EC54-4BA3-B51D-B35F96E206E3}"/>
    <hyperlink ref="D17" r:id="rId2" xr:uid="{164A691D-FC8E-4CE0-A1B2-C8652D42A60B}"/>
    <hyperlink ref="D18" r:id="rId3" xr:uid="{F2B9EE4D-39ED-4933-AF51-584C09F20F30}"/>
    <hyperlink ref="C6:C7" r:id="rId4" display="Source" xr:uid="{8B3C207A-5D01-454E-831F-7CBAC1117914}"/>
  </hyperlinks>
  <pageMargins left="0.7" right="0.7" top="0.75" bottom="0.75" header="0.3" footer="0.3"/>
  <pageSetup orientation="portrait"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EAA2F-F4F9-4D73-A544-5092355486EE}">
  <dimension ref="A1:S69"/>
  <sheetViews>
    <sheetView topLeftCell="A18" zoomScale="80" zoomScaleNormal="80" workbookViewId="0">
      <selection activeCell="D2" sqref="D2"/>
    </sheetView>
  </sheetViews>
  <sheetFormatPr defaultRowHeight="14.4" x14ac:dyDescent="0.55000000000000004"/>
  <cols>
    <col min="1" max="1" width="69.20703125" bestFit="1" customWidth="1"/>
    <col min="2" max="2" width="13.3125" customWidth="1"/>
    <col min="3" max="3" width="9.3125" bestFit="1" customWidth="1"/>
    <col min="4" max="4" width="10.7890625" bestFit="1" customWidth="1"/>
    <col min="5" max="5" width="53.68359375" bestFit="1" customWidth="1"/>
    <col min="6" max="6" width="11.1015625" customWidth="1"/>
    <col min="7" max="7" width="49.20703125" customWidth="1"/>
    <col min="8" max="9" width="11.1015625" bestFit="1" customWidth="1"/>
    <col min="10" max="10" width="11.7890625" customWidth="1"/>
    <col min="13" max="13" width="29" bestFit="1" customWidth="1"/>
    <col min="14" max="14" width="13.68359375" bestFit="1" customWidth="1"/>
    <col min="15" max="15" width="11.1015625" customWidth="1"/>
    <col min="17" max="17" width="29.68359375" bestFit="1" customWidth="1"/>
    <col min="18" max="18" width="17.7890625" bestFit="1" customWidth="1"/>
  </cols>
  <sheetData>
    <row r="1" spans="1:18" x14ac:dyDescent="0.55000000000000004">
      <c r="A1" s="122"/>
      <c r="C1" s="10" t="s">
        <v>162</v>
      </c>
    </row>
    <row r="2" spans="1:18" ht="14.7" thickBot="1" x14ac:dyDescent="0.6">
      <c r="A2" s="122" t="s">
        <v>171</v>
      </c>
      <c r="B2" s="7">
        <v>4073.1</v>
      </c>
      <c r="C2" s="295" t="s">
        <v>85</v>
      </c>
      <c r="F2" s="9" t="s">
        <v>428</v>
      </c>
      <c r="H2" s="8"/>
    </row>
    <row r="3" spans="1:18" ht="14.7" thickBot="1" x14ac:dyDescent="0.6">
      <c r="A3" s="122" t="s">
        <v>172</v>
      </c>
      <c r="B3" s="7">
        <v>83799</v>
      </c>
      <c r="C3" s="295"/>
      <c r="E3" s="106" t="s">
        <v>214</v>
      </c>
      <c r="F3" s="113">
        <f>(B12*B10*1000000)-F65</f>
        <v>495754.50738829898</v>
      </c>
      <c r="I3" s="8"/>
    </row>
    <row r="4" spans="1:18" ht="14.7" thickBot="1" x14ac:dyDescent="0.6">
      <c r="A4" s="140" t="s">
        <v>173</v>
      </c>
      <c r="B4" s="139">
        <f>B2/B3</f>
        <v>4.8605591952171269E-2</v>
      </c>
      <c r="N4" s="7"/>
    </row>
    <row r="5" spans="1:18" ht="29.1" thickBot="1" x14ac:dyDescent="0.6">
      <c r="A5" s="122"/>
      <c r="D5" s="8"/>
      <c r="E5" s="109" t="s">
        <v>78</v>
      </c>
      <c r="F5" s="7">
        <f>(0.02*F3)+F66</f>
        <v>44993.380196428996</v>
      </c>
      <c r="G5" s="115" t="s">
        <v>222</v>
      </c>
      <c r="I5" s="8"/>
      <c r="N5" s="163" t="s">
        <v>284</v>
      </c>
      <c r="O5" s="9" t="s">
        <v>428</v>
      </c>
      <c r="R5" s="21" t="s">
        <v>353</v>
      </c>
    </row>
    <row r="6" spans="1:18" ht="14.7" thickBot="1" x14ac:dyDescent="0.6">
      <c r="A6" s="122" t="s">
        <v>174</v>
      </c>
      <c r="B6" s="7">
        <v>46989</v>
      </c>
      <c r="C6" s="294" t="s">
        <v>85</v>
      </c>
      <c r="E6" s="112" t="s">
        <v>109</v>
      </c>
      <c r="F6" s="7">
        <f>0.006*F5</f>
        <v>269.96028117857401</v>
      </c>
      <c r="G6" s="153" t="s">
        <v>216</v>
      </c>
      <c r="M6" t="s">
        <v>404</v>
      </c>
      <c r="N6" s="7">
        <f>(0.73*F3*'Virgin Resins_LCIA'!E7)+(0.27*LDPE_LLDPE_Scenario_MFA!F3*'Virgin Resins_LCIA'!E6)</f>
        <v>790331.8356784262</v>
      </c>
      <c r="Q6" t="s">
        <v>404</v>
      </c>
      <c r="R6" s="7">
        <f>(0.73*F3*'Virgin Resins_LCIA'!F7)+(0.27*F3*'Virgin Resins_LCIA'!F6)</f>
        <v>37094831015.329468</v>
      </c>
    </row>
    <row r="7" spans="1:18" ht="14.7" thickBot="1" x14ac:dyDescent="0.6">
      <c r="A7" s="122" t="s">
        <v>175</v>
      </c>
      <c r="B7" s="7">
        <v>655529</v>
      </c>
      <c r="C7" s="294"/>
      <c r="E7" s="109" t="s">
        <v>79</v>
      </c>
      <c r="F7" s="7">
        <f>F8+F10</f>
        <v>457394.71227711026</v>
      </c>
      <c r="G7" s="106"/>
      <c r="L7" s="8"/>
      <c r="M7" t="s">
        <v>78</v>
      </c>
      <c r="N7" s="8">
        <f>(F5-F6)*'Semi-mfg._LCIA'!E5</f>
        <v>46065.122512707938</v>
      </c>
      <c r="O7" s="8">
        <f>(F5-F6)</f>
        <v>44723.419915250422</v>
      </c>
      <c r="Q7" t="s">
        <v>78</v>
      </c>
      <c r="R7" s="8">
        <f>(F5-F6)*('Semi-mfg._LCIA'!F5*1000)</f>
        <v>1171753601.779561</v>
      </c>
    </row>
    <row r="8" spans="1:18" ht="14.7" thickBot="1" x14ac:dyDescent="0.6">
      <c r="A8" s="140" t="s">
        <v>84</v>
      </c>
      <c r="B8" s="139">
        <f>B6/B7</f>
        <v>7.168103928277772E-2</v>
      </c>
      <c r="D8" s="8"/>
      <c r="E8" s="112" t="s">
        <v>80</v>
      </c>
      <c r="F8" s="7">
        <f>(0.59*F3)+F67</f>
        <v>342720.89283786388</v>
      </c>
      <c r="G8" s="115" t="s">
        <v>223</v>
      </c>
      <c r="M8" t="s">
        <v>274</v>
      </c>
      <c r="N8" s="8">
        <f>SUM(N9:N10)</f>
        <v>179284.76523786414</v>
      </c>
      <c r="O8" s="8">
        <f>SUM(O9:O10)</f>
        <v>448768.05248096422</v>
      </c>
      <c r="Q8" t="s">
        <v>274</v>
      </c>
      <c r="R8" s="8">
        <f>SUM(R9:R10)</f>
        <v>4591556833.175292</v>
      </c>
    </row>
    <row r="9" spans="1:18" ht="14.7" thickBot="1" x14ac:dyDescent="0.6">
      <c r="A9" s="122"/>
      <c r="D9" s="8"/>
      <c r="E9" s="118" t="s">
        <v>109</v>
      </c>
      <c r="F9" s="7">
        <f>0.024*F8</f>
        <v>8225.3014281087326</v>
      </c>
      <c r="G9" t="s">
        <v>110</v>
      </c>
      <c r="L9" s="8"/>
      <c r="M9" s="118" t="s">
        <v>278</v>
      </c>
      <c r="N9" s="8">
        <f>(F8-F9)*'Semi-mfg._LCIA'!E9</f>
        <v>138146.67925222887</v>
      </c>
      <c r="O9" s="149">
        <f>(F8-F9)</f>
        <v>334495.59140975517</v>
      </c>
      <c r="Q9" s="118" t="s">
        <v>278</v>
      </c>
      <c r="R9" s="8">
        <f>(F8-F9)*('Semi-mfg._LCIA'!F9*1000)</f>
        <v>3579102828.0843801</v>
      </c>
    </row>
    <row r="10" spans="1:18" ht="14.7" thickBot="1" x14ac:dyDescent="0.6">
      <c r="A10" s="141" t="s">
        <v>601</v>
      </c>
      <c r="B10" s="142">
        <f>AVERAGE(B4,B8)</f>
        <v>6.0143315617474491E-2</v>
      </c>
      <c r="E10" s="112" t="s">
        <v>215</v>
      </c>
      <c r="F10" s="7">
        <f>(0.13*F3)+F68</f>
        <v>114673.81943924638</v>
      </c>
      <c r="G10" s="115" t="s">
        <v>224</v>
      </c>
      <c r="M10" s="118" t="s">
        <v>215</v>
      </c>
      <c r="N10" s="8">
        <f>(F10-F11)*'Semi-mfg._LCIA'!E12</f>
        <v>41138.085985635254</v>
      </c>
      <c r="O10" s="149">
        <f>(F10-F11)</f>
        <v>114272.46107120902</v>
      </c>
      <c r="Q10" s="118" t="s">
        <v>215</v>
      </c>
      <c r="R10" s="11">
        <f>(F10-F11)*('Semi-mfg._LCIA'!F12*1000)</f>
        <v>1012454005.090912</v>
      </c>
    </row>
    <row r="11" spans="1:18" ht="14.7" thickBot="1" x14ac:dyDescent="0.6">
      <c r="E11" s="118" t="s">
        <v>109</v>
      </c>
      <c r="F11" s="7">
        <f>0.0035*F10</f>
        <v>401.35836803736231</v>
      </c>
      <c r="G11" s="110" t="s">
        <v>217</v>
      </c>
      <c r="M11" t="s">
        <v>281</v>
      </c>
      <c r="N11" s="8">
        <f>(F12-F13)*'Semi-mfg._LCIA'!N7</f>
        <v>102352.86395361314</v>
      </c>
      <c r="O11" s="8">
        <f>(F12-F13)</f>
        <v>151758.77686697169</v>
      </c>
      <c r="Q11" t="s">
        <v>281</v>
      </c>
      <c r="R11" s="8">
        <f>(F12-F13)*('Semi-mfg._LCIA'!O7*1000)</f>
        <v>2456468734.8867149</v>
      </c>
    </row>
    <row r="12" spans="1:18" ht="14.7" thickBot="1" x14ac:dyDescent="0.6">
      <c r="A12" s="106" t="s">
        <v>303</v>
      </c>
      <c r="B12" s="112">
        <v>10.894</v>
      </c>
      <c r="C12" t="s">
        <v>584</v>
      </c>
      <c r="D12" s="8"/>
      <c r="E12" s="109" t="s">
        <v>83</v>
      </c>
      <c r="F12" s="7">
        <f>(0.26*F3)+F69</f>
        <v>152813.18786322797</v>
      </c>
      <c r="G12" s="115" t="s">
        <v>225</v>
      </c>
      <c r="M12" t="s">
        <v>275</v>
      </c>
      <c r="N12" s="8">
        <f>(F15+F54+F62+F19)*EOL_LCIA!D10</f>
        <v>8854.4579982905016</v>
      </c>
      <c r="O12" s="8">
        <f>(F15+F54+F62+F19)</f>
        <v>402475.36355865916</v>
      </c>
      <c r="Q12" t="s">
        <v>275</v>
      </c>
      <c r="R12" s="8">
        <f>(F15+F54+F62+F19)*(EOL_LCIA!E10*1000)</f>
        <v>124767362.70318434</v>
      </c>
    </row>
    <row r="13" spans="1:18" x14ac:dyDescent="0.55000000000000004">
      <c r="E13" s="118" t="s">
        <v>109</v>
      </c>
      <c r="F13" s="8">
        <f>0.0069*F12</f>
        <v>1054.4109962562729</v>
      </c>
      <c r="G13" s="110">
        <v>6.8999999999999999E-3</v>
      </c>
      <c r="M13" s="122" t="s">
        <v>276</v>
      </c>
      <c r="N13" s="8">
        <f>(F16+F55+F63+F20)*EOL_LCIA!I9</f>
        <v>11698.176978535392</v>
      </c>
      <c r="O13" s="8">
        <f>(F16+F55+F63+F20)</f>
        <v>8238.1528017854871</v>
      </c>
      <c r="Q13" s="122" t="s">
        <v>276</v>
      </c>
      <c r="R13" s="8">
        <f>(F16+F55+F63+F20)*(EOL_LCIA!J10*1000)</f>
        <v>-179674112.60694149</v>
      </c>
    </row>
    <row r="14" spans="1:18" x14ac:dyDescent="0.55000000000000004">
      <c r="E14" s="2" t="s">
        <v>115</v>
      </c>
      <c r="F14" s="8">
        <f>F6+F9+F11+F13</f>
        <v>9951.0310735809417</v>
      </c>
      <c r="G14" s="7"/>
      <c r="I14" s="8"/>
      <c r="M14" t="s">
        <v>283</v>
      </c>
      <c r="N14" s="8">
        <f>F44*EOL_LCIA!I21</f>
        <v>5007.6612000000005</v>
      </c>
      <c r="O14" s="8">
        <f>F44</f>
        <v>200306.448</v>
      </c>
      <c r="Q14" t="s">
        <v>283</v>
      </c>
      <c r="R14" s="8">
        <f>F44*EOL_LCIA!J21</f>
        <v>32049031.68</v>
      </c>
    </row>
    <row r="15" spans="1:18" x14ac:dyDescent="0.55000000000000004">
      <c r="A15" t="s">
        <v>379</v>
      </c>
      <c r="D15" s="8"/>
      <c r="E15" s="118" t="s">
        <v>120</v>
      </c>
      <c r="F15" s="8">
        <f>(0.86*F14)</f>
        <v>8557.8867232796092</v>
      </c>
      <c r="G15" s="110" t="s">
        <v>573</v>
      </c>
      <c r="M15" t="s">
        <v>199</v>
      </c>
      <c r="N15" s="8">
        <f>(F18*(EOL_LCIA!L31/2))+(F65*EOL_LCIA!L31)</f>
        <v>70393.016595634312</v>
      </c>
      <c r="O15" s="8">
        <f>F18+F65</f>
        <v>160521.484304415</v>
      </c>
      <c r="Q15" t="s">
        <v>199</v>
      </c>
      <c r="R15" s="8">
        <f>F18*(EOL_LCIA!M31/2)+(F65*EOL_LCIA!M31)</f>
        <v>1153485567.3966441</v>
      </c>
    </row>
    <row r="16" spans="1:18" x14ac:dyDescent="0.55000000000000004">
      <c r="A16" t="s">
        <v>380</v>
      </c>
      <c r="E16" s="118" t="s">
        <v>22</v>
      </c>
      <c r="F16" s="8">
        <f>(0.02*F14)</f>
        <v>199.02062147161882</v>
      </c>
      <c r="G16" s="110" t="s">
        <v>573</v>
      </c>
      <c r="M16" t="s">
        <v>379</v>
      </c>
      <c r="N16" s="7">
        <f>(1.7*10^6)*B19</f>
        <v>26153.407299676011</v>
      </c>
      <c r="Q16" t="s">
        <v>379</v>
      </c>
      <c r="R16" s="7">
        <f>(22.6*10^9)*B19</f>
        <v>347686473.51333994</v>
      </c>
    </row>
    <row r="17" spans="1:19" x14ac:dyDescent="0.55000000000000004">
      <c r="A17" t="s">
        <v>381</v>
      </c>
      <c r="B17" s="7">
        <f>(3161000*0.907185)+269800</f>
        <v>3137411.7850000001</v>
      </c>
      <c r="C17" t="s">
        <v>103</v>
      </c>
      <c r="D17" s="3" t="s">
        <v>85</v>
      </c>
      <c r="E17" s="118" t="s">
        <v>367</v>
      </c>
      <c r="F17" s="7">
        <f>0.12*F14</f>
        <v>1194.1237288297129</v>
      </c>
      <c r="G17" s="110" t="s">
        <v>573</v>
      </c>
      <c r="M17" s="291" t="s">
        <v>261</v>
      </c>
      <c r="N17" s="8">
        <f>N7+N8++N11+N12+N13+N14+N15+N16</f>
        <v>449809.47177632136</v>
      </c>
      <c r="O17" t="s">
        <v>348</v>
      </c>
      <c r="Q17" s="291" t="s">
        <v>261</v>
      </c>
      <c r="R17" s="8">
        <f>R7+R8++R11+R12+R13+R14+R15+R16</f>
        <v>9698093492.5277958</v>
      </c>
      <c r="S17" t="s">
        <v>354</v>
      </c>
    </row>
    <row r="18" spans="1:19" ht="86.4" x14ac:dyDescent="0.55000000000000004">
      <c r="A18" t="s">
        <v>382</v>
      </c>
      <c r="B18" s="7">
        <f>(224.8*0.907185*10^6)</f>
        <v>203935188</v>
      </c>
      <c r="C18" t="s">
        <v>103</v>
      </c>
      <c r="D18" s="3" t="s">
        <v>85</v>
      </c>
      <c r="E18" s="118" t="s">
        <v>347</v>
      </c>
      <c r="F18" s="7">
        <f>0.9*F17</f>
        <v>1074.7113559467416</v>
      </c>
      <c r="G18" s="270" t="s">
        <v>478</v>
      </c>
      <c r="M18" s="291"/>
      <c r="N18" s="11">
        <f>N17/10^6</f>
        <v>0.44980947177632136</v>
      </c>
      <c r="O18" t="s">
        <v>287</v>
      </c>
      <c r="P18" s="8"/>
      <c r="Q18" s="291"/>
      <c r="R18" s="11">
        <f>R17/10^9</f>
        <v>9.6980934925277964</v>
      </c>
      <c r="S18" t="s">
        <v>356</v>
      </c>
    </row>
    <row r="19" spans="1:19" x14ac:dyDescent="0.55000000000000004">
      <c r="A19" t="s">
        <v>383</v>
      </c>
      <c r="B19" s="190">
        <f>B17/B18</f>
        <v>1.5384357235103537E-2</v>
      </c>
      <c r="E19" s="118" t="s">
        <v>120</v>
      </c>
      <c r="F19" s="7">
        <f>(0.98*0.1*F17)</f>
        <v>117.02412542531188</v>
      </c>
      <c r="G19" t="s">
        <v>293</v>
      </c>
      <c r="M19" s="1" t="s">
        <v>575</v>
      </c>
      <c r="N19" s="8">
        <f>N6-LDPE_LLDPE_MFA!N6</f>
        <v>-254190.04543444805</v>
      </c>
      <c r="O19" t="s">
        <v>348</v>
      </c>
      <c r="Q19" s="1" t="s">
        <v>576</v>
      </c>
      <c r="R19" s="11">
        <f>R6-LDPE_LLDPE_MFA!R6</f>
        <v>-11930604785.869141</v>
      </c>
      <c r="S19" t="s">
        <v>354</v>
      </c>
    </row>
    <row r="20" spans="1:19" x14ac:dyDescent="0.55000000000000004">
      <c r="C20" s="8"/>
      <c r="E20" s="118" t="s">
        <v>22</v>
      </c>
      <c r="F20" s="7">
        <f>(0.02*0.1*F17)</f>
        <v>2.3882474576594261</v>
      </c>
      <c r="G20" t="s">
        <v>293</v>
      </c>
      <c r="M20" s="1" t="s">
        <v>566</v>
      </c>
      <c r="N20" s="11">
        <f>(N17+N19)/10^6</f>
        <v>0.19561942634187329</v>
      </c>
      <c r="O20" t="s">
        <v>287</v>
      </c>
      <c r="Q20" s="1" t="s">
        <v>566</v>
      </c>
      <c r="R20" s="11">
        <f>(R19+R17)/10^9</f>
        <v>-2.2325112933413447</v>
      </c>
      <c r="S20" t="s">
        <v>356</v>
      </c>
    </row>
    <row r="21" spans="1:19" x14ac:dyDescent="0.55000000000000004">
      <c r="C21" s="8"/>
      <c r="E21" t="s">
        <v>270</v>
      </c>
      <c r="F21" s="116">
        <f>'Trade Data'!F16/1000</f>
        <v>525.31862999999998</v>
      </c>
      <c r="N21" s="11"/>
    </row>
    <row r="22" spans="1:19" ht="28.8" x14ac:dyDescent="0.55000000000000004">
      <c r="E22" t="s">
        <v>271</v>
      </c>
      <c r="F22" s="116">
        <f>'Trade Data'!D16/1000</f>
        <v>265.66030999999998</v>
      </c>
      <c r="M22" s="152" t="s">
        <v>372</v>
      </c>
      <c r="N22">
        <v>29.4</v>
      </c>
      <c r="O22" t="s">
        <v>287</v>
      </c>
      <c r="Q22" s="152" t="s">
        <v>355</v>
      </c>
      <c r="R22" s="1">
        <v>3039</v>
      </c>
      <c r="S22" t="s">
        <v>356</v>
      </c>
    </row>
    <row r="23" spans="1:19" ht="28.8" x14ac:dyDescent="0.55000000000000004">
      <c r="E23" t="s">
        <v>185</v>
      </c>
      <c r="F23" s="116">
        <f>F21-F22</f>
        <v>259.65832</v>
      </c>
      <c r="G23" t="s">
        <v>186</v>
      </c>
      <c r="M23" s="152" t="s">
        <v>350</v>
      </c>
      <c r="N23">
        <v>190.89</v>
      </c>
      <c r="O23" t="s">
        <v>287</v>
      </c>
      <c r="Q23" s="152" t="s">
        <v>357</v>
      </c>
      <c r="R23" s="165">
        <v>744.02538730000003</v>
      </c>
      <c r="S23" t="s">
        <v>356</v>
      </c>
    </row>
    <row r="24" spans="1:19" x14ac:dyDescent="0.55000000000000004">
      <c r="E24" t="s">
        <v>187</v>
      </c>
      <c r="F24" s="8">
        <f>F5+F7+F12-F14+F21</f>
        <v>645775.56789318623</v>
      </c>
      <c r="M24" s="152"/>
      <c r="Q24" s="152"/>
      <c r="R24" s="1"/>
    </row>
    <row r="25" spans="1:19" ht="28.8" x14ac:dyDescent="0.55000000000000004">
      <c r="E25" s="152" t="s">
        <v>188</v>
      </c>
      <c r="F25" s="7">
        <f>F22+F53</f>
        <v>562547.61171569326</v>
      </c>
      <c r="M25" s="152"/>
      <c r="Q25" s="152" t="s">
        <v>376</v>
      </c>
      <c r="R25" s="1">
        <v>1072.8</v>
      </c>
      <c r="S25" t="s">
        <v>356</v>
      </c>
    </row>
    <row r="26" spans="1:19" ht="28.8" x14ac:dyDescent="0.55000000000000004">
      <c r="E26" t="s">
        <v>192</v>
      </c>
      <c r="F26" s="8">
        <f>F24-F25</f>
        <v>83227.956177492975</v>
      </c>
      <c r="M26" s="152" t="s">
        <v>369</v>
      </c>
      <c r="N26" s="164">
        <f>N20/N22</f>
        <v>6.6537219844174595E-3</v>
      </c>
    </row>
    <row r="27" spans="1:19" ht="28.8" x14ac:dyDescent="0.55000000000000004">
      <c r="M27" s="152" t="s">
        <v>368</v>
      </c>
      <c r="N27" s="164">
        <f>N20/N23</f>
        <v>1.0247756631666053E-3</v>
      </c>
      <c r="Q27" s="152" t="s">
        <v>369</v>
      </c>
      <c r="R27" s="164">
        <f>R20/R25</f>
        <v>-2.0810135098260113E-3</v>
      </c>
    </row>
    <row r="28" spans="1:19" ht="28.8" x14ac:dyDescent="0.55000000000000004">
      <c r="E28" s="292" t="s">
        <v>87</v>
      </c>
      <c r="F28" s="292"/>
      <c r="G28" s="292"/>
      <c r="Q28" s="152" t="s">
        <v>388</v>
      </c>
      <c r="R28" s="164">
        <f>R20/R22</f>
        <v>-7.346203663512157E-4</v>
      </c>
    </row>
    <row r="29" spans="1:19" ht="43.2" x14ac:dyDescent="0.55000000000000004">
      <c r="E29" s="10" t="s">
        <v>97</v>
      </c>
      <c r="M29" s="200"/>
      <c r="N29" s="8"/>
      <c r="Q29" s="152" t="s">
        <v>389</v>
      </c>
      <c r="R29" s="164">
        <f>R20/R23</f>
        <v>-3.0005848341317005E-3</v>
      </c>
    </row>
    <row r="30" spans="1:19" x14ac:dyDescent="0.55000000000000004">
      <c r="D30" s="7"/>
      <c r="E30" t="s">
        <v>127</v>
      </c>
      <c r="F30" s="7">
        <f>'NextCycle Scenario'!L13</f>
        <v>197690.12646</v>
      </c>
      <c r="G30" t="s">
        <v>88</v>
      </c>
    </row>
    <row r="31" spans="1:19" x14ac:dyDescent="0.55000000000000004">
      <c r="E31" t="s">
        <v>129</v>
      </c>
      <c r="F31" s="7">
        <f>'NextCycle Scenario'!I13</f>
        <v>200306.448</v>
      </c>
      <c r="G31" t="s">
        <v>294</v>
      </c>
    </row>
    <row r="32" spans="1:19" x14ac:dyDescent="0.55000000000000004">
      <c r="E32" t="s">
        <v>128</v>
      </c>
      <c r="F32" s="7">
        <f>(F30/0.98)*0.02</f>
        <v>4034.4923767346941</v>
      </c>
      <c r="G32" t="s">
        <v>293</v>
      </c>
    </row>
    <row r="33" spans="4:11" x14ac:dyDescent="0.55000000000000004">
      <c r="E33" t="s">
        <v>130</v>
      </c>
      <c r="F33" s="7">
        <f>F30+F32+F31</f>
        <v>402031.06683673471</v>
      </c>
    </row>
    <row r="35" spans="4:11" x14ac:dyDescent="0.55000000000000004">
      <c r="E35" t="s">
        <v>65</v>
      </c>
      <c r="F35" s="7">
        <f>'U.S. Post-consumer Waste Mgmt'!E46*'U.S. Post-consumer Waste Mgmt'!P19*1000</f>
        <v>1103.2763137277707</v>
      </c>
      <c r="G35" t="s">
        <v>101</v>
      </c>
    </row>
    <row r="36" spans="4:11" x14ac:dyDescent="0.55000000000000004">
      <c r="E36" s="118" t="s">
        <v>120</v>
      </c>
      <c r="F36" s="8">
        <f>0.98*F35</f>
        <v>1081.2107874532153</v>
      </c>
      <c r="G36" t="s">
        <v>293</v>
      </c>
    </row>
    <row r="37" spans="4:11" x14ac:dyDescent="0.55000000000000004">
      <c r="E37" s="118" t="s">
        <v>121</v>
      </c>
      <c r="F37" s="8">
        <f>0.02*F35</f>
        <v>22.065526274555413</v>
      </c>
      <c r="G37" t="s">
        <v>293</v>
      </c>
      <c r="I37" s="8"/>
      <c r="J37" s="13"/>
      <c r="K37" s="8"/>
    </row>
    <row r="38" spans="4:11" x14ac:dyDescent="0.55000000000000004">
      <c r="E38" t="s">
        <v>68</v>
      </c>
      <c r="F38" s="7">
        <f>'U.S. Post-consumer Waste Mgmt'!E48*'U.S. Post-consumer Waste Mgmt'!P19*1000</f>
        <v>25099.536137306783</v>
      </c>
      <c r="G38" t="s">
        <v>101</v>
      </c>
    </row>
    <row r="39" spans="4:11" x14ac:dyDescent="0.55000000000000004">
      <c r="D39" s="8"/>
      <c r="E39" s="118" t="s">
        <v>120</v>
      </c>
      <c r="F39" s="8">
        <f>0.98*F38</f>
        <v>24597.545414560645</v>
      </c>
      <c r="G39" t="s">
        <v>293</v>
      </c>
    </row>
    <row r="40" spans="4:11" x14ac:dyDescent="0.55000000000000004">
      <c r="E40" s="118" t="s">
        <v>121</v>
      </c>
      <c r="F40" s="8">
        <f>0.02*F38</f>
        <v>501.99072274613565</v>
      </c>
      <c r="G40" t="s">
        <v>293</v>
      </c>
    </row>
    <row r="41" spans="4:11" x14ac:dyDescent="0.55000000000000004">
      <c r="E41" s="10" t="s">
        <v>257</v>
      </c>
      <c r="F41" s="12">
        <f>F33+F35+F38</f>
        <v>428233.87928776926</v>
      </c>
    </row>
    <row r="42" spans="4:11" x14ac:dyDescent="0.55000000000000004">
      <c r="E42" s="118" t="s">
        <v>240</v>
      </c>
      <c r="F42" s="8">
        <f>F30+F36+F39</f>
        <v>223368.88266201387</v>
      </c>
    </row>
    <row r="43" spans="4:11" x14ac:dyDescent="0.55000000000000004">
      <c r="E43" s="118" t="s">
        <v>241</v>
      </c>
      <c r="F43" s="8">
        <f>F32+F37+F40</f>
        <v>4558.5486257553848</v>
      </c>
    </row>
    <row r="44" spans="4:11" x14ac:dyDescent="0.55000000000000004">
      <c r="E44" s="118" t="s">
        <v>282</v>
      </c>
      <c r="F44" s="8">
        <f>F31</f>
        <v>200306.448</v>
      </c>
    </row>
    <row r="46" spans="4:11" x14ac:dyDescent="0.55000000000000004">
      <c r="E46" s="10" t="s">
        <v>258</v>
      </c>
      <c r="F46" s="154">
        <f>'U.S. Post-consumer Waste Mgmt'!F19*'U.S. Post-consumer Waste Mgmt'!P19*1000</f>
        <v>75298.608411920344</v>
      </c>
      <c r="G46" t="s">
        <v>101</v>
      </c>
    </row>
    <row r="47" spans="4:11" x14ac:dyDescent="0.55000000000000004">
      <c r="E47" s="118" t="s">
        <v>21</v>
      </c>
      <c r="F47" s="8">
        <f>0.98*F46</f>
        <v>73792.636243681933</v>
      </c>
      <c r="G47" t="s">
        <v>293</v>
      </c>
    </row>
    <row r="48" spans="4:11" x14ac:dyDescent="0.55000000000000004">
      <c r="E48" s="118" t="s">
        <v>22</v>
      </c>
      <c r="F48" s="8">
        <f>0.02*F46</f>
        <v>1505.972168238407</v>
      </c>
      <c r="G48" t="s">
        <v>293</v>
      </c>
    </row>
    <row r="49" spans="4:7" x14ac:dyDescent="0.55000000000000004">
      <c r="E49" s="10" t="s">
        <v>259</v>
      </c>
      <c r="F49" s="154">
        <f>'U.S. Post-consumer Waste Mgmt'!F24*'U.S. Post-consumer Waste Mgmt'!P19*1000</f>
        <v>58749.463706003778</v>
      </c>
      <c r="G49" t="s">
        <v>101</v>
      </c>
    </row>
    <row r="50" spans="4:7" x14ac:dyDescent="0.55000000000000004">
      <c r="E50" s="118" t="s">
        <v>21</v>
      </c>
      <c r="F50" s="8">
        <f>0.98*F49</f>
        <v>57574.474431883704</v>
      </c>
      <c r="G50" t="s">
        <v>293</v>
      </c>
    </row>
    <row r="51" spans="4:7" x14ac:dyDescent="0.55000000000000004">
      <c r="D51" s="8"/>
      <c r="E51" s="118" t="s">
        <v>22</v>
      </c>
      <c r="F51" s="8">
        <f>0.02*F49</f>
        <v>1174.9892741200756</v>
      </c>
      <c r="G51" t="s">
        <v>293</v>
      </c>
    </row>
    <row r="52" spans="4:7" x14ac:dyDescent="0.55000000000000004">
      <c r="D52" s="8"/>
    </row>
    <row r="53" spans="4:7" x14ac:dyDescent="0.55000000000000004">
      <c r="D53" s="8"/>
      <c r="E53" s="10" t="s">
        <v>260</v>
      </c>
      <c r="F53" s="12">
        <f>F41+F46+F49</f>
        <v>562281.95140569331</v>
      </c>
    </row>
    <row r="54" spans="4:7" x14ac:dyDescent="0.55000000000000004">
      <c r="E54" s="2" t="s">
        <v>255</v>
      </c>
      <c r="F54" s="8">
        <f>F42+F47+F50</f>
        <v>354735.99333757954</v>
      </c>
    </row>
    <row r="55" spans="4:7" x14ac:dyDescent="0.55000000000000004">
      <c r="E55" t="s">
        <v>256</v>
      </c>
      <c r="F55" s="8">
        <f>F43+F48+F51</f>
        <v>7239.5100681138674</v>
      </c>
    </row>
    <row r="56" spans="4:7" x14ac:dyDescent="0.55000000000000004">
      <c r="E56" s="292"/>
      <c r="F56" s="292"/>
      <c r="G56" s="292"/>
    </row>
    <row r="57" spans="4:7" x14ac:dyDescent="0.55000000000000004">
      <c r="E57" t="s">
        <v>266</v>
      </c>
      <c r="F57">
        <f>'Trade Data'!F90</f>
        <v>0</v>
      </c>
    </row>
    <row r="58" spans="4:7" x14ac:dyDescent="0.55000000000000004">
      <c r="E58" t="s">
        <v>267</v>
      </c>
      <c r="F58" s="7">
        <f>HDPE_MFA!B26</f>
        <v>997.98181441471024</v>
      </c>
    </row>
    <row r="59" spans="4:7" x14ac:dyDescent="0.55000000000000004">
      <c r="E59" s="292" t="s">
        <v>358</v>
      </c>
      <c r="F59" s="292"/>
      <c r="G59" s="292"/>
    </row>
    <row r="60" spans="4:7" x14ac:dyDescent="0.55000000000000004">
      <c r="E60" t="s">
        <v>366</v>
      </c>
      <c r="F60" s="8">
        <f>F44-F58</f>
        <v>199308.4661855853</v>
      </c>
    </row>
    <row r="61" spans="4:7" x14ac:dyDescent="0.55000000000000004">
      <c r="E61" t="s">
        <v>394</v>
      </c>
      <c r="F61" s="8">
        <f>0.2*F60</f>
        <v>39861.693237117062</v>
      </c>
    </row>
    <row r="62" spans="4:7" x14ac:dyDescent="0.55000000000000004">
      <c r="E62" s="118" t="s">
        <v>21</v>
      </c>
      <c r="F62" s="8">
        <f>0.98*F61</f>
        <v>39064.459372374724</v>
      </c>
      <c r="G62" t="s">
        <v>293</v>
      </c>
    </row>
    <row r="63" spans="4:7" x14ac:dyDescent="0.55000000000000004">
      <c r="E63" s="118" t="s">
        <v>22</v>
      </c>
      <c r="F63" s="8">
        <f>0.02*F61</f>
        <v>797.23386474234121</v>
      </c>
      <c r="G63" t="s">
        <v>293</v>
      </c>
    </row>
    <row r="65" spans="5:7" x14ac:dyDescent="0.55000000000000004">
      <c r="E65" t="s">
        <v>482</v>
      </c>
      <c r="F65" s="8">
        <f>F60-F61</f>
        <v>159446.77294846825</v>
      </c>
    </row>
    <row r="66" spans="5:7" x14ac:dyDescent="0.55000000000000004">
      <c r="F66" s="8">
        <f>0.22*F65</f>
        <v>35078.290048663017</v>
      </c>
      <c r="G66" t="s">
        <v>490</v>
      </c>
    </row>
    <row r="67" spans="5:7" x14ac:dyDescent="0.55000000000000004">
      <c r="F67" s="8">
        <f>0.315*F65</f>
        <v>50225.733478767499</v>
      </c>
      <c r="G67" t="s">
        <v>491</v>
      </c>
    </row>
    <row r="68" spans="5:7" x14ac:dyDescent="0.55000000000000004">
      <c r="F68" s="8">
        <f>0.315*F65</f>
        <v>50225.733478767499</v>
      </c>
      <c r="G68" t="s">
        <v>492</v>
      </c>
    </row>
    <row r="69" spans="5:7" x14ac:dyDescent="0.55000000000000004">
      <c r="F69" s="8">
        <f>0.15*F65</f>
        <v>23917.015942270238</v>
      </c>
      <c r="G69" t="s">
        <v>493</v>
      </c>
    </row>
  </sheetData>
  <mergeCells count="7">
    <mergeCell ref="Q17:Q18"/>
    <mergeCell ref="E28:G28"/>
    <mergeCell ref="E56:G56"/>
    <mergeCell ref="E59:G59"/>
    <mergeCell ref="C2:C3"/>
    <mergeCell ref="C6:C7"/>
    <mergeCell ref="M17:M18"/>
  </mergeCells>
  <hyperlinks>
    <hyperlink ref="C2" r:id="rId1" location="eyJhcHBpZCI6OTksInN0ZXBzIjpbMSwyNCwyOSwyNSwyNiwyNyw0MF0sImRhdGEiOltbIlRhYmxlSWQiLCI1MDUiXSxbIkNsYXNzaWZpY2F0aW9uIiwiTkFJQ1MiXSxbIlJlYWxfVGFibGVfSWQiLCI1MDUiXSxbIk1ham9yQXJlYUtleSIsIjAiXSxbIkxpbmUiLCIzMyJdLFsiU3RhdGUiLCIwIl0sWyJVbml0X29mX01lYXN1cmUiLCJMZXZlbHMiXSxbIk1hcENvbG9yIiwiQkVBU3RhbmRhcmQiXSxbIm5SYW5nZSIsIjUiXSxbIlllYXIiLCIyMDE5Il0sWyJZZWFyQmVnaW4iLCItMSJdLFsiWWVhckVuZCIsIi0xIl1dfQ==" xr:uid="{44339FCB-0B85-4651-9EB8-956B54EA5EAF}"/>
    <hyperlink ref="D17" r:id="rId2" xr:uid="{A0D2FD71-760D-4E65-A1C9-34DD06B3A266}"/>
    <hyperlink ref="D18" r:id="rId3" xr:uid="{A1883D4C-5BAA-40C4-B511-2315EA07EE8E}"/>
    <hyperlink ref="C6:C7" r:id="rId4" display="Source" xr:uid="{E6670DC4-7906-455C-81C8-88A99205178A}"/>
  </hyperlinks>
  <pageMargins left="0.7" right="0.7" top="0.75" bottom="0.75" header="0.3" footer="0.3"/>
  <pageSetup orientation="portrait"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Virgin Resins_LCIA</vt:lpstr>
      <vt:lpstr>Semi-mfg._LCIA</vt:lpstr>
      <vt:lpstr>EOL_LCIA</vt:lpstr>
      <vt:lpstr>PET_MFA</vt:lpstr>
      <vt:lpstr>PET_Scenario_MFA</vt:lpstr>
      <vt:lpstr>HDPE_MFA</vt:lpstr>
      <vt:lpstr>HDPE_Scenario_MFA</vt:lpstr>
      <vt:lpstr>LDPE_LLDPE_MFA</vt:lpstr>
      <vt:lpstr>LDPE_LLDPE_Scenario_MFA</vt:lpstr>
      <vt:lpstr>PP_MFA</vt:lpstr>
      <vt:lpstr>PP_Scenarios_MFA</vt:lpstr>
      <vt:lpstr>NextCycle Scenario</vt:lpstr>
      <vt:lpstr>Socio-economic Impacts</vt:lpstr>
      <vt:lpstr>NAICS Codes Data_2019</vt:lpstr>
      <vt:lpstr>U.S. Post-consumer Waste Mgmt</vt:lpstr>
      <vt:lpstr>Trade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Utkarsh Chaudhari</dc:creator>
  <cp:lastModifiedBy>Utkarsh Chaudhari</cp:lastModifiedBy>
  <dcterms:created xsi:type="dcterms:W3CDTF">2023-05-01T01:19:18Z</dcterms:created>
  <dcterms:modified xsi:type="dcterms:W3CDTF">2024-03-22T17:04:32Z</dcterms:modified>
</cp:coreProperties>
</file>